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00" tabRatio="858" firstSheet="26" activeTab="37"/>
  </bookViews>
  <sheets>
    <sheet name="May 18" sheetId="19" state="hidden" r:id="rId1"/>
    <sheet name="Lodgement 02.05.18" sheetId="20" state="hidden" r:id="rId2"/>
    <sheet name="June '18" sheetId="18" state="hidden" r:id="rId3"/>
    <sheet name="July 18" sheetId="4" state="hidden" r:id="rId4"/>
    <sheet name="Aug 18" sheetId="5" state="hidden" r:id="rId5"/>
    <sheet name="Sept 18" sheetId="6" state="hidden" r:id="rId6"/>
    <sheet name="Oct 18" sheetId="7" state="hidden" r:id="rId7"/>
    <sheet name="Lodge 15.10.18 " sheetId="8" state="hidden" r:id="rId8"/>
    <sheet name="Nov 18" sheetId="9" state="hidden" r:id="rId9"/>
    <sheet name="Dec 18" sheetId="10" state="hidden" r:id="rId10"/>
    <sheet name="Lodge 06.12.18 " sheetId="11" state="hidden" r:id="rId11"/>
    <sheet name=" Jan 19" sheetId="12" state="hidden" r:id="rId12"/>
    <sheet name="Feb 19" sheetId="14" state="hidden" r:id="rId13"/>
    <sheet name="March  19 estimated" sheetId="15" state="hidden" r:id="rId14"/>
    <sheet name="Lodge 21.03.19" sheetId="16" state="hidden" r:id="rId15"/>
    <sheet name="March  19 " sheetId="23" state="hidden" r:id="rId16"/>
    <sheet name="April  19" sheetId="17" state="hidden" r:id="rId17"/>
    <sheet name="Budget Update 1st May 2019" sheetId="1" state="hidden" r:id="rId18"/>
    <sheet name="May 19" sheetId="21" state="hidden" r:id="rId19"/>
    <sheet name="June 19" sheetId="22" state="hidden" r:id="rId20"/>
    <sheet name="July 19" sheetId="24" state="hidden" r:id="rId21"/>
    <sheet name="Aug 19" sheetId="25" state="hidden" r:id="rId22"/>
    <sheet name="Sep 19" sheetId="26" state="hidden" r:id="rId23"/>
    <sheet name="Oct 19" sheetId="27" state="hidden" r:id="rId24"/>
    <sheet name="Nov 19" sheetId="28" state="hidden" r:id="rId25"/>
    <sheet name="Dec 19" sheetId="29" state="hidden" r:id="rId26"/>
    <sheet name="Jan 20" sheetId="30" r:id="rId27"/>
    <sheet name="Feb 20" sheetId="31" r:id="rId28"/>
    <sheet name="Mar 20" sheetId="32" r:id="rId29"/>
    <sheet name="Apr 20" sheetId="33" r:id="rId30"/>
    <sheet name="May 20" sheetId="37" r:id="rId31"/>
    <sheet name="June 20" sheetId="34" r:id="rId32"/>
    <sheet name="July 20" sheetId="35" r:id="rId33"/>
    <sheet name="August 20" sheetId="36" r:id="rId34"/>
    <sheet name="Sept 20" sheetId="38" r:id="rId35"/>
    <sheet name="Oct 20" sheetId="39" r:id="rId36"/>
    <sheet name="Nov 20" sheetId="40" r:id="rId37"/>
    <sheet name="Dec 20" sheetId="41" r:id="rId38"/>
  </sheets>
  <definedNames>
    <definedName name="_xlnm.Print_Area" localSheetId="11">' Jan 19'!$A$1:$K$28</definedName>
    <definedName name="_xlnm.Print_Area" localSheetId="29">'Apr 20'!$A$1:$K$25</definedName>
    <definedName name="_xlnm.Print_Area" localSheetId="16">'April  19'!$A$1:$K$26</definedName>
    <definedName name="_xlnm.Print_Area" localSheetId="4">'Aug 18'!$A$1:$K$26</definedName>
    <definedName name="_xlnm.Print_Area" localSheetId="21">'Aug 19'!$A$1:$K$30</definedName>
    <definedName name="_xlnm.Print_Area" localSheetId="33">'August 20'!$A$1:$K$26</definedName>
    <definedName name="_xlnm.Print_Area" localSheetId="9">'Dec 18'!$A$1:$K$30</definedName>
    <definedName name="_xlnm.Print_Area" localSheetId="25">'Dec 19'!$A$1:$K$30</definedName>
    <definedName name="_xlnm.Print_Area" localSheetId="37">'Dec 20'!$A$1:$K$24</definedName>
    <definedName name="_xlnm.Print_Area" localSheetId="12">'Feb 19'!$A$1:$K$29</definedName>
    <definedName name="_xlnm.Print_Area" localSheetId="27">'Feb 20'!$A$1:$K$29</definedName>
    <definedName name="_xlnm.Print_Area" localSheetId="26">'Jan 20'!$A$1:$K$29</definedName>
    <definedName name="_xlnm.Print_Area" localSheetId="3">'July 18'!$A$1:$K$29</definedName>
    <definedName name="_xlnm.Print_Area" localSheetId="20">'July 19'!$A$1:$K$30</definedName>
    <definedName name="_xlnm.Print_Area" localSheetId="32">'July 20'!$A$1:$K$26</definedName>
    <definedName name="_xlnm.Print_Area" localSheetId="2">'June ''18'!$A$1:$K$63</definedName>
    <definedName name="_xlnm.Print_Area" localSheetId="19">'June 19'!$A$1:$K$30</definedName>
    <definedName name="_xlnm.Print_Area" localSheetId="31">'June 20'!$A$1:$K$25</definedName>
    <definedName name="_xlnm.Print_Area" localSheetId="28">'Mar 20'!$A$1:$K$27</definedName>
    <definedName name="_xlnm.Print_Area" localSheetId="15">'March  19 '!$A$1:$K$30</definedName>
    <definedName name="_xlnm.Print_Area" localSheetId="13">'March  19 estimated'!$A$1:$K$29</definedName>
    <definedName name="_xlnm.Print_Area" localSheetId="0">'May 18'!$A$1:$K$57</definedName>
    <definedName name="_xlnm.Print_Area" localSheetId="18">'May 19'!$A$1:$K$24</definedName>
    <definedName name="_xlnm.Print_Area" localSheetId="30">'May 20'!$A$1:$K$24</definedName>
    <definedName name="_xlnm.Print_Area" localSheetId="8">'Nov 18'!$A$1:$K$26</definedName>
    <definedName name="_xlnm.Print_Area" localSheetId="24">'Nov 19'!$A$1:$K$30</definedName>
    <definedName name="_xlnm.Print_Area" localSheetId="36">'Nov 20'!$A$1:$K$25</definedName>
    <definedName name="_xlnm.Print_Area" localSheetId="6">'Oct 18'!$A$1:$K$29</definedName>
    <definedName name="_xlnm.Print_Area" localSheetId="23">'Oct 19'!$A$1:$K$30</definedName>
    <definedName name="_xlnm.Print_Area" localSheetId="35">'Oct 20'!$A$1:$K$26</definedName>
    <definedName name="_xlnm.Print_Area" localSheetId="22">'Sep 19'!$A$1:$K$30</definedName>
    <definedName name="_xlnm.Print_Area" localSheetId="5">'Sept 18'!$A$1:$K$31</definedName>
    <definedName name="_xlnm.Print_Area" localSheetId="34">'Sept 20'!$A$1:$K$25</definedName>
  </definedNames>
  <calcPr calcId="162913"/>
</workbook>
</file>

<file path=xl/calcChain.xml><?xml version="1.0" encoding="utf-8"?>
<calcChain xmlns="http://schemas.openxmlformats.org/spreadsheetml/2006/main">
  <c r="I21" i="32" l="1"/>
  <c r="I18" i="41" l="1"/>
  <c r="I19" i="40"/>
  <c r="I20" i="39"/>
  <c r="I19" i="38"/>
  <c r="I18" i="37" l="1"/>
  <c r="I20" i="36"/>
  <c r="I19" i="34"/>
  <c r="I20" i="35" l="1"/>
  <c r="I19" i="33"/>
  <c r="I23" i="31"/>
  <c r="I23" i="30" l="1"/>
  <c r="J8" i="30"/>
  <c r="I24" i="29"/>
  <c r="J8" i="29"/>
  <c r="J9" i="29" s="1"/>
  <c r="J10" i="29" s="1"/>
  <c r="J11" i="29" s="1"/>
  <c r="J11" i="28"/>
  <c r="I24" i="28"/>
  <c r="J8" i="28"/>
  <c r="J29" i="28" s="1"/>
  <c r="I24" i="27"/>
  <c r="J8" i="27"/>
  <c r="J9" i="27" s="1"/>
  <c r="J10" i="27" s="1"/>
  <c r="I24" i="26"/>
  <c r="J8" i="26"/>
  <c r="J29" i="26" s="1"/>
  <c r="I24" i="25"/>
  <c r="J8" i="25"/>
  <c r="J29" i="25" s="1"/>
  <c r="I24" i="24"/>
  <c r="J8" i="24"/>
  <c r="J29" i="24" s="1"/>
  <c r="J8" i="23"/>
  <c r="J9" i="23" s="1"/>
  <c r="J10" i="23" s="1"/>
  <c r="J11" i="23" s="1"/>
  <c r="I23" i="23"/>
  <c r="J29" i="23" s="1"/>
  <c r="I24" i="22"/>
  <c r="J8" i="22"/>
  <c r="J29" i="22" s="1"/>
  <c r="I18" i="21"/>
  <c r="J8" i="21"/>
  <c r="J23" i="21" s="1"/>
  <c r="J9" i="30" l="1"/>
  <c r="J10" i="30" s="1"/>
  <c r="J11" i="30" s="1"/>
  <c r="J12" i="30" s="1"/>
  <c r="J29" i="29"/>
  <c r="J9" i="28"/>
  <c r="J10" i="28" s="1"/>
  <c r="J29" i="27"/>
  <c r="J9" i="26"/>
  <c r="J9" i="25"/>
  <c r="J10" i="25" s="1"/>
  <c r="J9" i="24"/>
  <c r="J10" i="24" s="1"/>
  <c r="J11" i="24" s="1"/>
  <c r="J12" i="24" s="1"/>
  <c r="J13" i="24" s="1"/>
  <c r="J9" i="22"/>
  <c r="J10" i="22" s="1"/>
  <c r="J11" i="22" s="1"/>
  <c r="J12" i="22" s="1"/>
  <c r="J13" i="22" s="1"/>
  <c r="J56" i="19"/>
  <c r="D24" i="1"/>
  <c r="D7" i="1"/>
  <c r="D6" i="1"/>
  <c r="J43" i="19"/>
  <c r="J42" i="19"/>
  <c r="J7" i="31" l="1"/>
  <c r="J8" i="31" s="1"/>
  <c r="J9" i="31" s="1"/>
  <c r="J10" i="31" s="1"/>
  <c r="J11" i="31" s="1"/>
  <c r="J28" i="30"/>
  <c r="D10" i="1"/>
  <c r="D11" i="1"/>
  <c r="D9" i="1"/>
  <c r="J12" i="31" l="1"/>
  <c r="J7" i="32"/>
  <c r="J8" i="32" s="1"/>
  <c r="J9" i="32" s="1"/>
  <c r="J10" i="32" s="1"/>
  <c r="J28" i="31"/>
  <c r="C33" i="1"/>
  <c r="J11" i="32" l="1"/>
  <c r="J26" i="32"/>
  <c r="J7" i="33"/>
  <c r="J8" i="33" s="1"/>
  <c r="F16" i="20"/>
  <c r="E16" i="20"/>
  <c r="D16" i="20"/>
  <c r="C16" i="20"/>
  <c r="G16" i="20" s="1"/>
  <c r="L10" i="20"/>
  <c r="I10" i="20"/>
  <c r="I12" i="20" s="1"/>
  <c r="L9" i="20"/>
  <c r="L8" i="20"/>
  <c r="I8" i="20"/>
  <c r="L4" i="20"/>
  <c r="J9" i="33" l="1"/>
  <c r="J24" i="33" s="1"/>
  <c r="J7" i="34"/>
  <c r="J8" i="34" s="1"/>
  <c r="J7" i="37"/>
  <c r="J23" i="37" s="1"/>
  <c r="I50" i="19"/>
  <c r="I31" i="19"/>
  <c r="J8" i="19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2" i="19" s="1"/>
  <c r="J33" i="19" s="1"/>
  <c r="J34" i="19" s="1"/>
  <c r="J35" i="19" s="1"/>
  <c r="J36" i="19" s="1"/>
  <c r="J37" i="19" s="1"/>
  <c r="J38" i="19" s="1"/>
  <c r="J39" i="19" s="1"/>
  <c r="J40" i="19" s="1"/>
  <c r="I56" i="18"/>
  <c r="I31" i="18"/>
  <c r="J8" i="18"/>
  <c r="J9" i="18" s="1"/>
  <c r="J10" i="18" s="1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J31" i="18" s="1"/>
  <c r="J32" i="18" s="1"/>
  <c r="J33" i="18" s="1"/>
  <c r="J34" i="18" s="1"/>
  <c r="J35" i="18" s="1"/>
  <c r="J36" i="18" s="1"/>
  <c r="J37" i="18" s="1"/>
  <c r="J38" i="18" s="1"/>
  <c r="J39" i="18" s="1"/>
  <c r="J40" i="18" s="1"/>
  <c r="J41" i="18" s="1"/>
  <c r="J42" i="18" s="1"/>
  <c r="J43" i="18" s="1"/>
  <c r="J44" i="18" s="1"/>
  <c r="J62" i="18" s="1"/>
  <c r="J24" i="34" l="1"/>
  <c r="J7" i="35"/>
  <c r="J8" i="35" s="1"/>
  <c r="J9" i="35" s="1"/>
  <c r="J9" i="34"/>
  <c r="D8" i="1"/>
  <c r="I20" i="17"/>
  <c r="F9" i="17"/>
  <c r="J8" i="17"/>
  <c r="J9" i="17" s="1"/>
  <c r="J25" i="17" s="1"/>
  <c r="J7" i="36" l="1"/>
  <c r="J8" i="36" s="1"/>
  <c r="J9" i="36" s="1"/>
  <c r="J10" i="35"/>
  <c r="J25" i="35" s="1"/>
  <c r="D21" i="1"/>
  <c r="F21" i="16"/>
  <c r="I17" i="16"/>
  <c r="F20" i="16" s="1"/>
  <c r="H17" i="16"/>
  <c r="G17" i="16"/>
  <c r="K17" i="16" s="1"/>
  <c r="F17" i="16"/>
  <c r="E17" i="16"/>
  <c r="D10" i="16"/>
  <c r="D12" i="16" s="1"/>
  <c r="K4" i="16"/>
  <c r="I22" i="15"/>
  <c r="J28" i="15" s="1"/>
  <c r="D18" i="1"/>
  <c r="J7" i="38" l="1"/>
  <c r="J8" i="38" s="1"/>
  <c r="J10" i="36"/>
  <c r="J25" i="36" s="1"/>
  <c r="F19" i="16"/>
  <c r="F22" i="16" s="1"/>
  <c r="J9" i="38" l="1"/>
  <c r="J24" i="38" s="1"/>
  <c r="J7" i="39"/>
  <c r="J8" i="39" s="1"/>
  <c r="J9" i="39" s="1"/>
  <c r="I22" i="14"/>
  <c r="J9" i="14"/>
  <c r="J28" i="14" s="1"/>
  <c r="J8" i="14"/>
  <c r="J7" i="40" l="1"/>
  <c r="J8" i="40" s="1"/>
  <c r="J10" i="39"/>
  <c r="J25" i="39" s="1"/>
  <c r="D22" i="1"/>
  <c r="D28" i="1"/>
  <c r="J14" i="6"/>
  <c r="D20" i="1"/>
  <c r="I21" i="12"/>
  <c r="J8" i="12"/>
  <c r="J9" i="12" s="1"/>
  <c r="J7" i="12"/>
  <c r="J9" i="40" l="1"/>
  <c r="J24" i="40" s="1"/>
  <c r="J7" i="41"/>
  <c r="J8" i="41" s="1"/>
  <c r="J23" i="41" s="1"/>
  <c r="J27" i="12"/>
  <c r="J16" i="10"/>
  <c r="F21" i="11"/>
  <c r="I17" i="11"/>
  <c r="F20" i="11" s="1"/>
  <c r="H17" i="11"/>
  <c r="G17" i="11"/>
  <c r="F17" i="11"/>
  <c r="F19" i="11" s="1"/>
  <c r="F22" i="11" s="1"/>
  <c r="E17" i="11"/>
  <c r="D13" i="11"/>
  <c r="D10" i="11"/>
  <c r="D12" i="11" s="1"/>
  <c r="I23" i="10"/>
  <c r="J7" i="10"/>
  <c r="J8" i="10" s="1"/>
  <c r="J9" i="10" s="1"/>
  <c r="J10" i="10" l="1"/>
  <c r="J11" i="10" s="1"/>
  <c r="J29" i="10" s="1"/>
  <c r="J31" i="10"/>
  <c r="K17" i="11"/>
  <c r="D5" i="8" l="1"/>
  <c r="D6" i="8"/>
  <c r="I19" i="9"/>
  <c r="J8" i="9"/>
  <c r="J25" i="9" s="1"/>
  <c r="J28" i="9" s="1"/>
  <c r="C14" i="1" l="1"/>
  <c r="D12" i="1"/>
  <c r="I18" i="8"/>
  <c r="H18" i="8"/>
  <c r="G18" i="8"/>
  <c r="F18" i="8"/>
  <c r="E18" i="8"/>
  <c r="D14" i="8"/>
  <c r="D11" i="8"/>
  <c r="D13" i="8" s="1"/>
  <c r="I22" i="7"/>
  <c r="J7" i="7"/>
  <c r="J8" i="7" s="1"/>
  <c r="J9" i="7" s="1"/>
  <c r="J10" i="7" s="1"/>
  <c r="J11" i="7" s="1"/>
  <c r="J28" i="7" s="1"/>
  <c r="D14" i="1" l="1"/>
  <c r="C31" i="1" l="1"/>
  <c r="I24" i="6"/>
  <c r="I20" i="6"/>
  <c r="J8" i="6"/>
  <c r="J9" i="6" s="1"/>
  <c r="J10" i="6" s="1"/>
  <c r="J11" i="6" s="1"/>
  <c r="J30" i="6" s="1"/>
  <c r="J33" i="6" s="1"/>
  <c r="D17" i="1" l="1"/>
  <c r="I19" i="5"/>
  <c r="J25" i="5" s="1"/>
  <c r="J8" i="5"/>
  <c r="D23" i="1" l="1"/>
  <c r="I22" i="4"/>
  <c r="J8" i="4"/>
  <c r="J9" i="4" s="1"/>
  <c r="J10" i="4" s="1"/>
  <c r="J11" i="4" s="1"/>
  <c r="J28" i="4" s="1"/>
  <c r="D31" i="1" l="1"/>
  <c r="D33" i="1" l="1"/>
</calcChain>
</file>

<file path=xl/comments1.xml><?xml version="1.0" encoding="utf-8"?>
<comments xmlns="http://schemas.openxmlformats.org/spreadsheetml/2006/main">
  <authors>
    <author>tech</author>
  </authors>
  <commentList>
    <comment ref="H40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Assume a 50/50 split between Membership fees and casual players. </t>
        </r>
      </text>
    </comment>
  </commentList>
</comments>
</file>

<file path=xl/comments2.xml><?xml version="1.0" encoding="utf-8"?>
<comments xmlns="http://schemas.openxmlformats.org/spreadsheetml/2006/main">
  <authors>
    <author>tech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See below...</t>
        </r>
      </text>
    </comment>
  </commentList>
</comments>
</file>

<file path=xl/comments3.xml><?xml version="1.0" encoding="utf-8"?>
<comments xmlns="http://schemas.openxmlformats.org/spreadsheetml/2006/main">
  <authors>
    <author>tech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€140 = medals, €184.60 = shirts, €30 = shop items.</t>
        </r>
      </text>
    </comment>
  </commentList>
</comments>
</file>

<file path=xl/comments4.xml><?xml version="1.0" encoding="utf-8"?>
<comments xmlns="http://schemas.openxmlformats.org/spreadsheetml/2006/main">
  <authors>
    <author>tech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Department of Transport Tourism &amp; Sport.
</t>
        </r>
      </text>
    </comment>
  </commentList>
</comments>
</file>

<file path=xl/sharedStrings.xml><?xml version="1.0" encoding="utf-8"?>
<sst xmlns="http://schemas.openxmlformats.org/spreadsheetml/2006/main" count="1261" uniqueCount="417">
  <si>
    <t>Budget</t>
  </si>
  <si>
    <t>Estimated</t>
  </si>
  <si>
    <t>Expected Income</t>
  </si>
  <si>
    <t>€</t>
  </si>
  <si>
    <t xml:space="preserve">Membership Fees </t>
  </si>
  <si>
    <t xml:space="preserve">Casual Players’ Fees </t>
  </si>
  <si>
    <t>Grants</t>
  </si>
  <si>
    <t>Sales</t>
  </si>
  <si>
    <t>Fundraising</t>
  </si>
  <si>
    <t>Events</t>
  </si>
  <si>
    <t>Total</t>
  </si>
  <si>
    <t>Planned Expenditure</t>
  </si>
  <si>
    <t>Club Insurance</t>
  </si>
  <si>
    <t>Affiliation Fees SO</t>
  </si>
  <si>
    <t>Affiliation Fees TTI</t>
  </si>
  <si>
    <t>Equipment Purchase</t>
  </si>
  <si>
    <t>Club Competitions</t>
  </si>
  <si>
    <t>Printing</t>
  </si>
  <si>
    <t>Internet Hosting</t>
  </si>
  <si>
    <t>Training</t>
  </si>
  <si>
    <t>Profit/Loss</t>
  </si>
  <si>
    <r>
      <t>Bank</t>
    </r>
    <r>
      <rPr>
        <i/>
        <sz val="11"/>
        <color theme="1"/>
        <rFont val="Calibri"/>
        <family val="2"/>
        <scheme val="minor"/>
      </rPr>
      <t xml:space="preserve"> Charges</t>
    </r>
  </si>
  <si>
    <t>Comment</t>
  </si>
  <si>
    <t>National Games</t>
  </si>
  <si>
    <t>Consolidated Cash Book for Beech Hill Table Tennis Club</t>
  </si>
  <si>
    <t>Beechhill Table Tennis Club: Cash Book Reconciliation for July 2018</t>
  </si>
  <si>
    <t>Date</t>
  </si>
  <si>
    <t>Invoice No.</t>
  </si>
  <si>
    <t>Cheque No.</t>
  </si>
  <si>
    <t>To</t>
  </si>
  <si>
    <t>From</t>
  </si>
  <si>
    <t>Remarks</t>
  </si>
  <si>
    <t>Credit</t>
  </si>
  <si>
    <t>Debit</t>
  </si>
  <si>
    <t>Balance</t>
  </si>
  <si>
    <t>Notes:</t>
  </si>
  <si>
    <t>29.06.2018</t>
  </si>
  <si>
    <t>Opening Balance for July</t>
  </si>
  <si>
    <t>Balance as per Bank Statement of this date</t>
  </si>
  <si>
    <t>03.07.2018</t>
  </si>
  <si>
    <t>New Equipment: Tables, nets &amp; scoreboards</t>
  </si>
  <si>
    <t>Abu - Internet Provision</t>
  </si>
  <si>
    <t>05.07.2018</t>
  </si>
  <si>
    <t>23.07.2018</t>
  </si>
  <si>
    <t>Cork City Council</t>
  </si>
  <si>
    <t>Grant</t>
  </si>
  <si>
    <t>EXPECTED:</t>
  </si>
  <si>
    <t>Outstanding Cheques:</t>
  </si>
  <si>
    <t>315 for €63.60 for Charlie B (First Aid Course) - Charlie has this, had not cashed as of July statement.</t>
  </si>
  <si>
    <t>319 for €225 for Cork Trophy Centre for Beech Hill Open Trophies.</t>
  </si>
  <si>
    <t>Other Upcoming Outgoings:</t>
  </si>
  <si>
    <t>Insurance renewal 31/07/18 to 31/07/19</t>
  </si>
  <si>
    <t>Outstanding Lodgements:</t>
  </si>
  <si>
    <t>NA</t>
  </si>
  <si>
    <t>Other Incomes:</t>
  </si>
  <si>
    <t>Estimated Balance</t>
  </si>
  <si>
    <t>Other</t>
  </si>
  <si>
    <t>Beechhill Table Tennis Club: Cash Book Reconciliation for August 2018</t>
  </si>
  <si>
    <t>27.07.2018</t>
  </si>
  <si>
    <t>Opening Balance for August</t>
  </si>
  <si>
    <t>01.08.2018</t>
  </si>
  <si>
    <t>Insurance Provider (JLT)</t>
  </si>
  <si>
    <t>Insurance from 31.07.18 - 31.07.19</t>
  </si>
  <si>
    <t>315 for €63.60 for Charlie B (First Aid Course) - Charlie has this, had not cashed as of August statement.</t>
  </si>
  <si>
    <t>Scott to lodge €30 cash for SO Cork City Match</t>
  </si>
  <si>
    <t>Beechhill Table Tennis Club: Cash Book Reconciliation for September 2018</t>
  </si>
  <si>
    <t>17.09.2018</t>
  </si>
  <si>
    <t>Bank Charges</t>
  </si>
  <si>
    <t>20.09.2018</t>
  </si>
  <si>
    <t xml:space="preserve">Eoin Kelly </t>
  </si>
  <si>
    <t>Micellaneous</t>
  </si>
  <si>
    <t>25.09.2018</t>
  </si>
  <si>
    <t>Leeside Table Tennis</t>
  </si>
  <si>
    <t>Rent of hall for tournament (2017/2018)</t>
  </si>
  <si>
    <t>26.09.2018</t>
  </si>
  <si>
    <t>Glen Resource Centre</t>
  </si>
  <si>
    <t>328 for special olympics</t>
  </si>
  <si>
    <t xml:space="preserve">331 for Cork Trophy Centre for €230 (Munster Classification Ranking Beechhill (held in Leeside) </t>
  </si>
  <si>
    <t>Scott lodged €2,155 to account on 15/10/2018 (see lodgement note)</t>
  </si>
  <si>
    <t>Balance received from teller after lodging above funds on the 15/10/2018</t>
  </si>
  <si>
    <t>Difference (Lodgements from Eoin and some of the above outflow may not have gone out yet)</t>
  </si>
  <si>
    <t>Beechhill Table Tennis Club: Cash Book Reconciliation for October 2018 (Prepared 06.12.18)</t>
  </si>
  <si>
    <t>27.09.18</t>
  </si>
  <si>
    <t>28.09.18</t>
  </si>
  <si>
    <t>02.10.18</t>
  </si>
  <si>
    <t>Cork Trophy Centre</t>
  </si>
  <si>
    <t>Cheque 000331</t>
  </si>
  <si>
    <t>08.10.18</t>
  </si>
  <si>
    <t>Special Olympics Munster</t>
  </si>
  <si>
    <t>Cheque 000328</t>
  </si>
  <si>
    <t>15.10.18</t>
  </si>
  <si>
    <t>Lodged by Scott (See Details)</t>
  </si>
  <si>
    <t>N/A</t>
  </si>
  <si>
    <t>Lodgement 15.10.18</t>
  </si>
  <si>
    <t>Munster Classification from Eoin</t>
  </si>
  <si>
    <t>(Note: Envelope said €770, contained €690)</t>
  </si>
  <si>
    <t>Cork City Match</t>
  </si>
  <si>
    <t>Subs from Eoin</t>
  </si>
  <si>
    <t>(Note: Envelope said €1,275, contained €1,265)</t>
  </si>
  <si>
    <t>2 cheques:</t>
  </si>
  <si>
    <t>(€1,265 = €160 in cheques and €1,105 in cash)</t>
  </si>
  <si>
    <t xml:space="preserve">Cheque 1: </t>
  </si>
  <si>
    <t>Cheque 2:</t>
  </si>
  <si>
    <t>GRAND TOTAL</t>
  </si>
  <si>
    <t>Summary:</t>
  </si>
  <si>
    <t>Cash</t>
  </si>
  <si>
    <t>Cheques</t>
  </si>
  <si>
    <t>Subs</t>
  </si>
  <si>
    <t>Beechhill Table Tennis Club: Cash Book Reconciliation for November 2018 (Prepared 06.12.18)</t>
  </si>
  <si>
    <t>26.10.18</t>
  </si>
  <si>
    <t>13.11.18</t>
  </si>
  <si>
    <t>Eoin Kelly</t>
  </si>
  <si>
    <t>BHTTC</t>
  </si>
  <si>
    <t>Trophies, Shirts &amp; Shop items.</t>
  </si>
  <si>
    <t>Scott lodged €500 on 06.12.2018 - will appear in December statement</t>
  </si>
  <si>
    <t>Balance received from teller after lodging above funds on the 06.12.2018</t>
  </si>
  <si>
    <t>Difference (Lodgements from Eoin / Ward Grants, outgoings from above may not have left yet)</t>
  </si>
  <si>
    <t>Lodgement (Eoin) Bagpacking Proceeds</t>
  </si>
  <si>
    <t>Shop</t>
  </si>
  <si>
    <t>Medals</t>
  </si>
  <si>
    <t>Shirts</t>
  </si>
  <si>
    <t>Includes €150 hall rent from 2018 Season. Includes Trophies purchased &amp; hall rent (glen resource centre)</t>
  </si>
  <si>
    <t>Casual Players receipts from Philip</t>
  </si>
  <si>
    <t>Detail:</t>
  </si>
  <si>
    <t>Beechhill Table Tennis Club: Cash Book Reconciliation for December 2018 (Prepared 21.03.19)</t>
  </si>
  <si>
    <t>26.11.18</t>
  </si>
  <si>
    <t>Balance as per Bank Statement at end of November.</t>
  </si>
  <si>
    <t>03.12.18</t>
  </si>
  <si>
    <t>Cork city council</t>
  </si>
  <si>
    <t>Ward fund grant receipt</t>
  </si>
  <si>
    <t>06.12.18</t>
  </si>
  <si>
    <t>Lodgement made by Scott on 06.12.18  (see detail)</t>
  </si>
  <si>
    <t>11.12.18</t>
  </si>
  <si>
    <t>17.12.18</t>
  </si>
  <si>
    <t>Bank Fees</t>
  </si>
  <si>
    <t>Balance as per Bank Statement at this date.</t>
  </si>
  <si>
    <t xml:space="preserve">315 for €63.60 for Charlie B (First Aid Course) </t>
  </si>
  <si>
    <t>334 for Ted Bollard; Equipment (See Invoice)</t>
  </si>
  <si>
    <t>Membership fees:</t>
  </si>
  <si>
    <t>(120 in cash and a checque for 40)</t>
  </si>
  <si>
    <t>Income from Event:</t>
  </si>
  <si>
    <t>Entry Fees:</t>
  </si>
  <si>
    <t>Shop:</t>
  </si>
  <si>
    <t>TOTAL</t>
  </si>
  <si>
    <t>Coins:</t>
  </si>
  <si>
    <t>Cheques:</t>
  </si>
  <si>
    <t>Munster Classifications, entry fees, shops etc.</t>
  </si>
  <si>
    <t>Special Olypmics</t>
  </si>
  <si>
    <t>Reimbursed for Tablet, S. Olympic Affil (see below)</t>
  </si>
  <si>
    <t>Tablet</t>
  </si>
  <si>
    <t>Beechhill Table Tennis Club: Cash Book Reconciliation for January 2019 (Prepared 21.03.19)</t>
  </si>
  <si>
    <t>24.12.18</t>
  </si>
  <si>
    <t>Balance as per Bank Statement at end of December.</t>
  </si>
  <si>
    <t>14.01.19</t>
  </si>
  <si>
    <t>Ted Bollard</t>
  </si>
  <si>
    <t>23.01.19</t>
  </si>
  <si>
    <t>Reimbursed for prizes</t>
  </si>
  <si>
    <t>315 for €63.60 for Charlie B (First Aid Course)</t>
  </si>
  <si>
    <t>Cheque to Ted Bollard</t>
  </si>
  <si>
    <t>Detail</t>
  </si>
  <si>
    <t>Trophies</t>
  </si>
  <si>
    <t>Beechhill Table Tennis Club: Cash Book Reconciliation for February 2019 (Prepared 21.03.19)</t>
  </si>
  <si>
    <t>24.01.19</t>
  </si>
  <si>
    <t>22.02.19</t>
  </si>
  <si>
    <t>Balance as per Bank Statement at this date</t>
  </si>
  <si>
    <t>337 for Glen Resource Centre</t>
  </si>
  <si>
    <t>338 for Cork trophy centre</t>
  </si>
  <si>
    <t>Special Olympics</t>
  </si>
  <si>
    <t xml:space="preserve">Scott to lodge €1,300 (see detail) </t>
  </si>
  <si>
    <t>Subs: Received from Eoin on 14.02.19</t>
  </si>
  <si>
    <t>Income from Event: BHTTC Munster Ranking number 2</t>
  </si>
  <si>
    <t>Proceeds (Entry fees &amp; Shop)</t>
  </si>
  <si>
    <t>Beechhill Table Tennis Club: Cash Book Reconciliation for April to date 2019 (Prepared 29.04.19)</t>
  </si>
  <si>
    <t>22.03.19</t>
  </si>
  <si>
    <t>25.03.19</t>
  </si>
  <si>
    <t>08.04.19</t>
  </si>
  <si>
    <t>Balance in account upon Eoin handing over to Scott: €1226.28</t>
  </si>
  <si>
    <t>Less stamp duty of €20 on 19.07.17 TSB statement (11.08.17)</t>
  </si>
  <si>
    <r>
      <t xml:space="preserve">Gave a balance of </t>
    </r>
    <r>
      <rPr>
        <b/>
        <sz val="11"/>
        <color theme="1"/>
        <rFont val="Calibri"/>
        <family val="2"/>
        <scheme val="minor"/>
      </rPr>
      <t>€1206.28.</t>
    </r>
  </si>
  <si>
    <t>19.07.17</t>
  </si>
  <si>
    <t>Opening Balance</t>
  </si>
  <si>
    <t>11.08.17</t>
  </si>
  <si>
    <t>11.09.17</t>
  </si>
  <si>
    <t>02.10.17</t>
  </si>
  <si>
    <t>10.10.17</t>
  </si>
  <si>
    <t>See Note 1</t>
  </si>
  <si>
    <t>Lodgement (Scott)</t>
  </si>
  <si>
    <t>11.10.17</t>
  </si>
  <si>
    <t>06.11.17</t>
  </si>
  <si>
    <t>Table Tennis Ireland</t>
  </si>
  <si>
    <t>Coaching</t>
  </si>
  <si>
    <t>23.11.17</t>
  </si>
  <si>
    <t>Philip</t>
  </si>
  <si>
    <t>29.11.17</t>
  </si>
  <si>
    <t>See Note 2</t>
  </si>
  <si>
    <t>08.12.17</t>
  </si>
  <si>
    <t>13.12.17</t>
  </si>
  <si>
    <t>Misc. (See File, €300 for TTI)</t>
  </si>
  <si>
    <t>18.12.17</t>
  </si>
  <si>
    <t>Ward Funds</t>
  </si>
  <si>
    <t>19.12.17</t>
  </si>
  <si>
    <t>Philip Shaw</t>
  </si>
  <si>
    <t>See File: Equipment from Ted B etc.</t>
  </si>
  <si>
    <t>29.12.17</t>
  </si>
  <si>
    <t>08.01.18</t>
  </si>
  <si>
    <t>10.01.18</t>
  </si>
  <si>
    <t>Mardyke Bowling &amp; Trophies (see file)</t>
  </si>
  <si>
    <t>31.01.18</t>
  </si>
  <si>
    <t>INVM17044</t>
  </si>
  <si>
    <t>Special Olympics Ireland</t>
  </si>
  <si>
    <t>Munster Region Affiliation</t>
  </si>
  <si>
    <t>08.02.18</t>
  </si>
  <si>
    <t>15.02.18</t>
  </si>
  <si>
    <t>Martina Cleary</t>
  </si>
  <si>
    <t>First Aid Course</t>
  </si>
  <si>
    <t>21.02.18</t>
  </si>
  <si>
    <t>See Note 3</t>
  </si>
  <si>
    <t>23.02.18</t>
  </si>
  <si>
    <t>Fiona Sorenson</t>
  </si>
  <si>
    <t>National Games (Munster)</t>
  </si>
  <si>
    <t>08.03.18</t>
  </si>
  <si>
    <t>29.03.18</t>
  </si>
  <si>
    <t>February Quarterly Fees</t>
  </si>
  <si>
    <t>04.04.18</t>
  </si>
  <si>
    <t xml:space="preserve">Prionsios </t>
  </si>
  <si>
    <t>09.04.18</t>
  </si>
  <si>
    <t xml:space="preserve">Ted Bollard </t>
  </si>
  <si>
    <t>6 Shirts</t>
  </si>
  <si>
    <t>10.04.18</t>
  </si>
  <si>
    <t>Munstaer Table Tennis</t>
  </si>
  <si>
    <t>Headage payment from tournament.</t>
  </si>
  <si>
    <t>Douglas Print Expenditure</t>
  </si>
  <si>
    <t>??</t>
  </si>
  <si>
    <t>?? TBC</t>
  </si>
  <si>
    <t>26.04.18</t>
  </si>
  <si>
    <t>CT Cork Local Sports Par</t>
  </si>
  <si>
    <t>02.05.18</t>
  </si>
  <si>
    <t>Lodgement</t>
  </si>
  <si>
    <t>Scott on 02.05</t>
  </si>
  <si>
    <t>22.05.18</t>
  </si>
  <si>
    <t>Lodgement: Bag-pack proceeds.</t>
  </si>
  <si>
    <t>31.05.18</t>
  </si>
  <si>
    <t>Lodgement: Scott on 31.05.18</t>
  </si>
  <si>
    <t>14.06.18</t>
  </si>
  <si>
    <t>22.06.18</t>
  </si>
  <si>
    <t>May Quarterly Fees</t>
  </si>
  <si>
    <t>25.06.18</t>
  </si>
  <si>
    <t>Marathon Fundraising</t>
  </si>
  <si>
    <t>29.06.18</t>
  </si>
  <si>
    <t>315 for €63.60 for Charlie B (First Aid Course) - Charlie has this, had not cashed as of March statement.</t>
  </si>
  <si>
    <t>Ward grant from councillor Joe Kavanagh</t>
  </si>
  <si>
    <t>Receipts lodged: 02/05/18</t>
  </si>
  <si>
    <t>Lodged:</t>
  </si>
  <si>
    <t>Money received from Eoin (membership fees - wed night)</t>
  </si>
  <si>
    <t>Money received from Eoin (Shirt Sales)</t>
  </si>
  <si>
    <t>Money received from Philip: Tea Stand From Beech Hill Open</t>
  </si>
  <si>
    <t>Money received from Philip: Casual Players</t>
  </si>
  <si>
    <t>Scott's Annual Membership</t>
  </si>
  <si>
    <t xml:space="preserve">Total Lodged = </t>
  </si>
  <si>
    <t>€12 to be returned to the float.</t>
  </si>
  <si>
    <t>5s'</t>
  </si>
  <si>
    <t>10's</t>
  </si>
  <si>
    <t>20's</t>
  </si>
  <si>
    <t>50's</t>
  </si>
  <si>
    <t>Bagpacking x 2 &amp; Marathon funds</t>
  </si>
  <si>
    <t>Ward grants from the council</t>
  </si>
  <si>
    <t>Cork City Match (Refund)</t>
  </si>
  <si>
    <t xml:space="preserve">Other </t>
  </si>
  <si>
    <t>Collected? Included in subs?</t>
  </si>
  <si>
    <t>See various invoices; new tables, score boards etc.</t>
  </si>
  <si>
    <t>Ad-hoc.</t>
  </si>
  <si>
    <t xml:space="preserve">Misc &amp; Various </t>
  </si>
  <si>
    <t>Budget vs Actual numbers are from 1st of May 2018 to 30th of April 2019</t>
  </si>
  <si>
    <t>Actual with effect from:  30.04.2019</t>
  </si>
  <si>
    <t>Fundraising up on budget, 2nd ranking competition held.</t>
  </si>
  <si>
    <t>Significant investment in equipment. Expenditure increased due to hall rental (Glen Resource Centre) Beech Hill hall being unsuitable for large scale tournaments.</t>
  </si>
  <si>
    <t>Essentially fundraising came in significantly above budget and holding a 2nd ranking boosted income also.</t>
  </si>
  <si>
    <t>BHTTC AGM / Budget Update May 1st 2019</t>
  </si>
  <si>
    <t>Beechhill Table Tennis Club: Cash Book Reconciliation for March to date 2019 (ESTIMATED: awaiting march statement)</t>
  </si>
  <si>
    <t>18.04.19</t>
  </si>
  <si>
    <t>07.05.20</t>
  </si>
  <si>
    <t>Beechhill Table Tennis Club: Cash Book Reconciliation 07.05.2019 (May 2019)</t>
  </si>
  <si>
    <t>Beechhill Table Tennis Club: Cash Book Reconciliation 14.06.2019 (June 2019)</t>
  </si>
  <si>
    <t>07.05.19</t>
  </si>
  <si>
    <t>28.05.19</t>
  </si>
  <si>
    <t>04.06.19</t>
  </si>
  <si>
    <t>07.06.19</t>
  </si>
  <si>
    <t>11.06.19</t>
  </si>
  <si>
    <t>13.06.19</t>
  </si>
  <si>
    <t>14.06.19</t>
  </si>
  <si>
    <t>Grant: CT Cork Local Sports</t>
  </si>
  <si>
    <t>Cheque to Eoin: Shop &amp; Trophies</t>
  </si>
  <si>
    <t>Bag Packing Receipts (Eoin)</t>
  </si>
  <si>
    <t>Lodgement Eoin: Subs</t>
  </si>
  <si>
    <t>Beechhill Table Tennis Club: Cash Book Reconciliation for 08.04.19</t>
  </si>
  <si>
    <t>17.06.19</t>
  </si>
  <si>
    <t>18.06.19</t>
  </si>
  <si>
    <t>19.06.19</t>
  </si>
  <si>
    <t>21.06.19</t>
  </si>
  <si>
    <t>28.06.19</t>
  </si>
  <si>
    <t>8.07.19</t>
  </si>
  <si>
    <t>Fees</t>
  </si>
  <si>
    <t>Sale of table</t>
  </si>
  <si>
    <t>Abu Internet</t>
  </si>
  <si>
    <t>Lodgement (Scott) Subs &amp; Casual Fees.</t>
  </si>
  <si>
    <t>SO League</t>
  </si>
  <si>
    <t>Beechhill Table Tennis Club: Cash Book Reconciliation 08.07.2019 (July 2019)</t>
  </si>
  <si>
    <t>Beechhill Table Tennis Club: Cash Book Reconciliation 13.08.2019 (August 2019)</t>
  </si>
  <si>
    <t>17.07.19</t>
  </si>
  <si>
    <t>23.07.19</t>
  </si>
  <si>
    <t>07.08.19</t>
  </si>
  <si>
    <t>13.08.19</t>
  </si>
  <si>
    <t>Lodgement (Membership Fees)</t>
  </si>
  <si>
    <t>JLT Ireland</t>
  </si>
  <si>
    <t>Insurance</t>
  </si>
  <si>
    <t>Camp Costs</t>
  </si>
  <si>
    <t>Beechhill Table Tennis Club: Cash Book Reconciliation 13.09.2019 (September 2019)</t>
  </si>
  <si>
    <t>16.08.19</t>
  </si>
  <si>
    <t>13.09.19</t>
  </si>
  <si>
    <t>20.08.19</t>
  </si>
  <si>
    <t>Cope Foundation</t>
  </si>
  <si>
    <t>Hall Maintenance Contribution</t>
  </si>
  <si>
    <t>Box of Table Tennis Balls</t>
  </si>
  <si>
    <t>16.09.19</t>
  </si>
  <si>
    <t>23.09.19</t>
  </si>
  <si>
    <t>25.09.19</t>
  </si>
  <si>
    <t>07.10.19</t>
  </si>
  <si>
    <t>Lodgement (Eoin)</t>
  </si>
  <si>
    <t>Entry Fee refund (Mixed Tournament)</t>
  </si>
  <si>
    <t>Beechhill Table Tennis Club: Cash Book Reconciliation 07.10.2019 (October 2019)</t>
  </si>
  <si>
    <t>15.11.19</t>
  </si>
  <si>
    <t>22.11.19</t>
  </si>
  <si>
    <t>02.12.19</t>
  </si>
  <si>
    <t>06.12.19</t>
  </si>
  <si>
    <t>10.12.19</t>
  </si>
  <si>
    <t>16.10.19</t>
  </si>
  <si>
    <t>29.10.19</t>
  </si>
  <si>
    <t>31.10.19</t>
  </si>
  <si>
    <t>07.11.19</t>
  </si>
  <si>
    <t>12.11.19</t>
  </si>
  <si>
    <t>Defibrillator</t>
  </si>
  <si>
    <t>Eoin</t>
  </si>
  <si>
    <t>Woodies &amp; Speaker System</t>
  </si>
  <si>
    <t>Beechhill Table Tennis Club: Cash Book Reconciliation 12.11.2019 (November 2019)</t>
  </si>
  <si>
    <t>Lodgements (Eoin)</t>
  </si>
  <si>
    <t>Fund Raising (Harvey Normans)</t>
  </si>
  <si>
    <t>Beechhill Table Tennis Club: Cash Book Reconciliation 10.12.2019 (December 2019)</t>
  </si>
  <si>
    <t>Lodgement (Eoin: Fees 230 + Shirt Sale)</t>
  </si>
  <si>
    <t>Table Tennis Robot</t>
  </si>
  <si>
    <t>Checque Stamp Duty</t>
  </si>
  <si>
    <t>Beechhill Table Tennis Club: Cash Book Reconciliation 13.01.2020 (January 2020)</t>
  </si>
  <si>
    <t>13.12.19</t>
  </si>
  <si>
    <t>24.12.19</t>
  </si>
  <si>
    <t>03.01.20</t>
  </si>
  <si>
    <t>09.01.20</t>
  </si>
  <si>
    <t>13.01.20</t>
  </si>
  <si>
    <t>Misc: See File backup</t>
  </si>
  <si>
    <t>Paid by Bank T/F (Eoin) Ball Collectors</t>
  </si>
  <si>
    <t>Quarterly Fees</t>
  </si>
  <si>
    <t>Membership Fees (Eoin)</t>
  </si>
  <si>
    <t>Sports Capital Grant</t>
  </si>
  <si>
    <t>Dept of T.S&amp;S</t>
  </si>
  <si>
    <t>21.01.20</t>
  </si>
  <si>
    <t>23.01.20</t>
  </si>
  <si>
    <t>28.01.20</t>
  </si>
  <si>
    <t>000352</t>
  </si>
  <si>
    <t>Special Olympics.</t>
  </si>
  <si>
    <t>JLT</t>
  </si>
  <si>
    <t>Insurance provider.</t>
  </si>
  <si>
    <t>Hall Maintenance Contribution.</t>
  </si>
  <si>
    <t>13.02.20</t>
  </si>
  <si>
    <t>14.02.20</t>
  </si>
  <si>
    <t>02.03.20</t>
  </si>
  <si>
    <t>10.03.20</t>
  </si>
  <si>
    <t>Trohy costs.</t>
  </si>
  <si>
    <t>WWCA.</t>
  </si>
  <si>
    <t>Payment to Ted Bollard (Equipment).</t>
  </si>
  <si>
    <t>06.02.20</t>
  </si>
  <si>
    <t>13.03.20</t>
  </si>
  <si>
    <t>03.04.20</t>
  </si>
  <si>
    <t>08.05.20</t>
  </si>
  <si>
    <t>25.05.20</t>
  </si>
  <si>
    <t>CT Cork City Council</t>
  </si>
  <si>
    <t>Council Ward Grant.</t>
  </si>
  <si>
    <t xml:space="preserve">Abu </t>
  </si>
  <si>
    <t>Internet Domain Hosting Charge.</t>
  </si>
  <si>
    <t>Quarterly Bank Charges.</t>
  </si>
  <si>
    <t>08.06.20</t>
  </si>
  <si>
    <t>29.06.20</t>
  </si>
  <si>
    <t>Beechhill Table Tennis Club: Cash Book Reconciliation 08.06.2020 (June 2020)</t>
  </si>
  <si>
    <t>31.05.20</t>
  </si>
  <si>
    <t>Beechhill Table Tennis Club: Cash Book Reconciliation 31.05.2020 (May 2020)</t>
  </si>
  <si>
    <t>Beechhill Table Tennis Club: Cash Book Reconciliation 13.02.2020 (February 2020)</t>
  </si>
  <si>
    <t>Beechhill Table Tennis Club: Cash Book Reconciliation 13.03.2020 (March 2020)</t>
  </si>
  <si>
    <t>Beechhill Table Tennis Club: Cash Book Reconciliation 09.04.2020 (April 2020)</t>
  </si>
  <si>
    <t>Beechhill Table Tennis Club: Cash Book Reconciliation 08.07.2020 (July 2020)</t>
  </si>
  <si>
    <t>Beechhill Table Tennis Club: Cash Book Reconciliation 07.08.2020 (August 2020)</t>
  </si>
  <si>
    <t>08.07.20</t>
  </si>
  <si>
    <t>04.08.20</t>
  </si>
  <si>
    <t>Payment for Covid / Reopening materials - see receipts.</t>
  </si>
  <si>
    <t>Beechhill Table Tennis Club: Cash Book Reconciliation 07.09.2020 (September 2020)</t>
  </si>
  <si>
    <t>07.08.20</t>
  </si>
  <si>
    <t>10.08.20</t>
  </si>
  <si>
    <t>Marsh IRL Brokers Beech (To Confirm with Eoin)</t>
  </si>
  <si>
    <t>Beechhill Table Tennis Club: Cash Book Reconciliation 07.10.2020 (October 2020)</t>
  </si>
  <si>
    <t>07.09.20</t>
  </si>
  <si>
    <t>28.09.20</t>
  </si>
  <si>
    <t>01.10.20</t>
  </si>
  <si>
    <t>CT Cork</t>
  </si>
  <si>
    <t>Ward Grant.</t>
  </si>
  <si>
    <t>Beechhill Table Tennis Club: Cash Book Reconciliation 06.11.2020 (November 2020)</t>
  </si>
  <si>
    <t>07.10.20</t>
  </si>
  <si>
    <t>19.10.20</t>
  </si>
  <si>
    <t>Beechhill Table Tennis Club: Cash Book Reconciliation 04.12.2020 (December 2020)</t>
  </si>
  <si>
    <t>06.11.20</t>
  </si>
  <si>
    <t>04.12.20</t>
  </si>
  <si>
    <t>09.04.20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</si>
</sst>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€&quot;#,##0;[Red]\-&quot;€&quot;#,##0"/>
    <numFmt numFmtId="44" formatCode="_-&quot;€&quot;* #,##0.00_-;\-&quot;€&quot;* #,##0.00_-;_-&quot;€&quot;* &quot;-&quot;??_-;_-@_-"/>
    <numFmt numFmtId="164" formatCode="_([$€-2]\ * #,##0.00_);_([$€-2]\ * \(#,##0.00\);_([$€-2]\ * &quot;-&quot;??_);_(@_)"/>
    <numFmt numFmtId="165" formatCode="_-[$€-1809]* #,##0.00_-;\-[$€-1809]* #,##0.00_-;_-[$€-1809]* &quot;-&quot;??_-;_-@_-"/>
    <numFmt numFmtId="166" formatCode="_-[$€-2]\ * #,##0.00_-;\-[$€-2]\ * #,##0.00_-;_-[$€-2]\ * &quot;-&quot;??_-;_-@_-"/>
    <numFmt numFmtId="167" formatCode="_-&quot;€&quot;* #,##0_-;\-&quot;€&quot;* #,##0_-;_-&quot;€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6">
    <xf numFmtId="0" fontId="0" fillId="0" borderId="0" xfId="0"/>
    <xf numFmtId="164" fontId="0" fillId="2" borderId="4" xfId="0" applyNumberFormat="1" applyFont="1" applyFill="1" applyBorder="1" applyAlignment="1">
      <alignment vertical="center" wrapText="1"/>
    </xf>
    <xf numFmtId="0" fontId="2" fillId="2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3" fillId="2" borderId="3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2" borderId="8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5" fontId="0" fillId="2" borderId="8" xfId="0" applyNumberFormat="1" applyFill="1" applyBorder="1"/>
    <xf numFmtId="165" fontId="0" fillId="2" borderId="0" xfId="0" applyNumberFormat="1" applyFill="1" applyBorder="1"/>
    <xf numFmtId="165" fontId="0" fillId="3" borderId="8" xfId="0" applyNumberFormat="1" applyFill="1" applyBorder="1"/>
    <xf numFmtId="0" fontId="0" fillId="3" borderId="0" xfId="0" applyFill="1" applyBorder="1"/>
    <xf numFmtId="0" fontId="2" fillId="2" borderId="0" xfId="0" applyFon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165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ont="1" applyFill="1" applyBorder="1"/>
    <xf numFmtId="0" fontId="1" fillId="2" borderId="9" xfId="0" applyFont="1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165" fontId="1" fillId="2" borderId="7" xfId="0" applyNumberFormat="1" applyFont="1" applyFill="1" applyBorder="1"/>
    <xf numFmtId="165" fontId="0" fillId="4" borderId="0" xfId="0" applyNumberFormat="1" applyFill="1" applyBorder="1"/>
    <xf numFmtId="165" fontId="0" fillId="4" borderId="8" xfId="0" applyNumberFormat="1" applyFill="1" applyBorder="1"/>
    <xf numFmtId="165" fontId="1" fillId="3" borderId="8" xfId="0" applyNumberFormat="1" applyFont="1" applyFill="1" applyBorder="1"/>
    <xf numFmtId="44" fontId="1" fillId="2" borderId="0" xfId="1" applyFont="1" applyFill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1" fillId="2" borderId="5" xfId="0" applyNumberFormat="1" applyFont="1" applyFill="1" applyBorder="1"/>
    <xf numFmtId="44" fontId="1" fillId="2" borderId="0" xfId="1" applyNumberFormat="1" applyFont="1" applyFill="1"/>
    <xf numFmtId="0" fontId="0" fillId="2" borderId="9" xfId="0" applyFont="1" applyFill="1" applyBorder="1"/>
    <xf numFmtId="0" fontId="1" fillId="2" borderId="6" xfId="0" applyFont="1" applyFill="1" applyBorder="1"/>
    <xf numFmtId="0" fontId="0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44" fontId="4" fillId="6" borderId="8" xfId="1" applyNumberFormat="1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1" fillId="2" borderId="16" xfId="0" applyFont="1" applyFill="1" applyBorder="1"/>
    <xf numFmtId="0" fontId="1" fillId="5" borderId="9" xfId="0" applyFont="1" applyFill="1" applyBorder="1"/>
    <xf numFmtId="0" fontId="1" fillId="5" borderId="6" xfId="0" applyFont="1" applyFill="1" applyBorder="1"/>
    <xf numFmtId="44" fontId="1" fillId="5" borderId="7" xfId="1" applyNumberFormat="1" applyFont="1" applyFill="1" applyBorder="1"/>
    <xf numFmtId="0" fontId="2" fillId="2" borderId="12" xfId="0" applyFont="1" applyFill="1" applyBorder="1"/>
    <xf numFmtId="44" fontId="1" fillId="2" borderId="17" xfId="1" applyNumberFormat="1" applyFont="1" applyFill="1" applyBorder="1"/>
    <xf numFmtId="44" fontId="1" fillId="2" borderId="18" xfId="1" applyNumberFormat="1" applyFont="1" applyFill="1" applyBorder="1"/>
    <xf numFmtId="0" fontId="1" fillId="2" borderId="15" xfId="0" applyFont="1" applyFill="1" applyBorder="1"/>
    <xf numFmtId="44" fontId="1" fillId="2" borderId="19" xfId="1" applyNumberFormat="1" applyFont="1" applyFill="1" applyBorder="1"/>
    <xf numFmtId="44" fontId="1" fillId="2" borderId="9" xfId="1" applyFont="1" applyFill="1" applyBorder="1"/>
    <xf numFmtId="44" fontId="1" fillId="2" borderId="10" xfId="1" applyFont="1" applyFill="1" applyBorder="1"/>
    <xf numFmtId="44" fontId="1" fillId="2" borderId="6" xfId="1" applyFont="1" applyFill="1" applyBorder="1"/>
    <xf numFmtId="0" fontId="1" fillId="2" borderId="17" xfId="0" applyFont="1" applyFill="1" applyBorder="1"/>
    <xf numFmtId="0" fontId="1" fillId="2" borderId="5" xfId="0" applyFont="1" applyFill="1" applyBorder="1"/>
    <xf numFmtId="0" fontId="1" fillId="2" borderId="18" xfId="0" applyFont="1" applyFill="1" applyBorder="1"/>
    <xf numFmtId="44" fontId="1" fillId="2" borderId="15" xfId="1" applyFont="1" applyFill="1" applyBorder="1"/>
    <xf numFmtId="44" fontId="1" fillId="2" borderId="11" xfId="1" applyFont="1" applyFill="1" applyBorder="1"/>
    <xf numFmtId="44" fontId="1" fillId="2" borderId="16" xfId="1" applyFont="1" applyFill="1" applyBorder="1"/>
    <xf numFmtId="44" fontId="1" fillId="2" borderId="5" xfId="0" applyNumberFormat="1" applyFont="1" applyFill="1" applyBorder="1"/>
    <xf numFmtId="44" fontId="4" fillId="4" borderId="7" xfId="1" applyNumberFormat="1" applyFont="1" applyFill="1" applyBorder="1"/>
    <xf numFmtId="44" fontId="4" fillId="4" borderId="10" xfId="1" applyNumberFormat="1" applyFont="1" applyFill="1" applyBorder="1"/>
    <xf numFmtId="44" fontId="4" fillId="4" borderId="8" xfId="1" applyNumberFormat="1" applyFont="1" applyFill="1" applyBorder="1"/>
    <xf numFmtId="44" fontId="4" fillId="4" borderId="11" xfId="1" applyNumberFormat="1" applyFont="1" applyFill="1" applyBorder="1"/>
    <xf numFmtId="44" fontId="0" fillId="2" borderId="0" xfId="1" applyFont="1" applyFill="1"/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65" fontId="0" fillId="5" borderId="0" xfId="0" applyNumberFormat="1" applyFill="1"/>
    <xf numFmtId="44" fontId="1" fillId="5" borderId="0" xfId="1" applyFont="1" applyFill="1"/>
    <xf numFmtId="0" fontId="0" fillId="5" borderId="0" xfId="0" applyFill="1" applyBorder="1"/>
    <xf numFmtId="165" fontId="0" fillId="5" borderId="0" xfId="0" applyNumberFormat="1" applyFill="1" applyBorder="1"/>
    <xf numFmtId="0" fontId="0" fillId="4" borderId="0" xfId="0" applyFill="1" applyBorder="1"/>
    <xf numFmtId="0" fontId="0" fillId="4" borderId="0" xfId="0" applyFill="1"/>
    <xf numFmtId="165" fontId="0" fillId="4" borderId="0" xfId="0" applyNumberFormat="1" applyFill="1"/>
    <xf numFmtId="165" fontId="7" fillId="2" borderId="0" xfId="0" applyNumberFormat="1" applyFont="1" applyFill="1" applyBorder="1"/>
    <xf numFmtId="44" fontId="4" fillId="2" borderId="7" xfId="1" applyNumberFormat="1" applyFont="1" applyFill="1" applyBorder="1"/>
    <xf numFmtId="44" fontId="4" fillId="6" borderId="10" xfId="1" applyNumberFormat="1" applyFont="1" applyFill="1" applyBorder="1"/>
    <xf numFmtId="44" fontId="4" fillId="6" borderId="11" xfId="1" applyNumberFormat="1" applyFont="1" applyFill="1" applyBorder="1"/>
    <xf numFmtId="6" fontId="1" fillId="2" borderId="17" xfId="1" applyNumberFormat="1" applyFont="1" applyFill="1" applyBorder="1"/>
    <xf numFmtId="44" fontId="1" fillId="2" borderId="17" xfId="1" applyFont="1" applyFill="1" applyBorder="1"/>
    <xf numFmtId="44" fontId="1" fillId="4" borderId="5" xfId="0" applyNumberFormat="1" applyFont="1" applyFill="1" applyBorder="1"/>
    <xf numFmtId="166" fontId="0" fillId="2" borderId="0" xfId="0" applyNumberFormat="1" applyFont="1" applyFill="1" applyAlignment="1">
      <alignment wrapText="1"/>
    </xf>
    <xf numFmtId="0" fontId="0" fillId="2" borderId="18" xfId="0" applyFill="1" applyBorder="1"/>
    <xf numFmtId="0" fontId="0" fillId="3" borderId="8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/>
    <xf numFmtId="0" fontId="0" fillId="3" borderId="18" xfId="0" applyFill="1" applyBorder="1"/>
    <xf numFmtId="165" fontId="0" fillId="3" borderId="10" xfId="0" applyNumberFormat="1" applyFill="1" applyBorder="1"/>
    <xf numFmtId="0" fontId="0" fillId="3" borderId="17" xfId="0" applyFill="1" applyBorder="1"/>
    <xf numFmtId="0" fontId="0" fillId="2" borderId="11" xfId="0" applyFill="1" applyBorder="1"/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165" fontId="0" fillId="2" borderId="16" xfId="0" applyNumberFormat="1" applyFill="1" applyBorder="1"/>
    <xf numFmtId="165" fontId="0" fillId="3" borderId="11" xfId="0" applyNumberFormat="1" applyFill="1" applyBorder="1"/>
    <xf numFmtId="0" fontId="0" fillId="2" borderId="19" xfId="0" applyFill="1" applyBorder="1"/>
    <xf numFmtId="0" fontId="0" fillId="3" borderId="10" xfId="0" applyFill="1" applyBorder="1"/>
    <xf numFmtId="0" fontId="0" fillId="3" borderId="13" xfId="0" applyFill="1" applyBorder="1" applyAlignment="1">
      <alignment horizontal="center"/>
    </xf>
    <xf numFmtId="0" fontId="0" fillId="3" borderId="13" xfId="0" applyFill="1" applyBorder="1"/>
    <xf numFmtId="165" fontId="0" fillId="3" borderId="13" xfId="0" applyNumberFormat="1" applyFill="1" applyBorder="1"/>
    <xf numFmtId="0" fontId="2" fillId="0" borderId="0" xfId="0" applyFont="1"/>
    <xf numFmtId="0" fontId="1" fillId="0" borderId="0" xfId="0" applyFont="1"/>
    <xf numFmtId="167" fontId="1" fillId="0" borderId="0" xfId="2" applyNumberFormat="1" applyFont="1"/>
    <xf numFmtId="164" fontId="1" fillId="0" borderId="0" xfId="0" applyNumberFormat="1" applyFont="1"/>
    <xf numFmtId="0" fontId="1" fillId="5" borderId="20" xfId="0" applyFont="1" applyFill="1" applyBorder="1"/>
    <xf numFmtId="0" fontId="0" fillId="5" borderId="21" xfId="0" applyFill="1" applyBorder="1"/>
    <xf numFmtId="167" fontId="1" fillId="5" borderId="2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2" applyNumberFormat="1" applyFont="1"/>
    <xf numFmtId="0" fontId="0" fillId="2" borderId="10" xfId="0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165" fontId="0" fillId="2" borderId="13" xfId="0" applyNumberFormat="1" applyFill="1" applyBorder="1"/>
    <xf numFmtId="165" fontId="0" fillId="4" borderId="10" xfId="0" applyNumberFormat="1" applyFill="1" applyBorder="1"/>
    <xf numFmtId="0" fontId="1" fillId="7" borderId="3" xfId="0" applyFont="1" applyFill="1" applyBorder="1" applyAlignment="1">
      <alignment vertical="center" wrapText="1"/>
    </xf>
    <xf numFmtId="164" fontId="1" fillId="7" borderId="4" xfId="0" applyNumberFormat="1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17" fontId="1" fillId="2" borderId="0" xfId="0" applyNumberFormat="1" applyFont="1" applyFill="1"/>
    <xf numFmtId="0" fontId="0" fillId="2" borderId="8" xfId="0" quotePrefix="1" applyFill="1" applyBorder="1"/>
    <xf numFmtId="165" fontId="1" fillId="3" borderId="0" xfId="0" applyNumberFormat="1" applyFont="1" applyFill="1" applyBorder="1"/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60"/>
  <sheetViews>
    <sheetView view="pageBreakPreview" topLeftCell="A3" zoomScale="110" zoomScaleNormal="110" zoomScaleSheetLayoutView="11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J38" sqref="J38"/>
    </sheetView>
  </sheetViews>
  <sheetFormatPr defaultRowHeight="15" x14ac:dyDescent="0.25"/>
  <cols>
    <col min="1" max="1" width="2.28515625" style="17" customWidth="1"/>
    <col min="2" max="2" width="9" style="17" customWidth="1"/>
    <col min="3" max="3" width="13" style="16" customWidth="1"/>
    <col min="4" max="4" width="7.5703125" style="17" customWidth="1"/>
    <col min="5" max="5" width="25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3" spans="2:11" hidden="1" x14ac:dyDescent="0.25">
      <c r="B3" s="17" t="s">
        <v>176</v>
      </c>
    </row>
    <row r="4" spans="2:11" hidden="1" x14ac:dyDescent="0.25">
      <c r="B4" s="17" t="s">
        <v>177</v>
      </c>
    </row>
    <row r="5" spans="2:11" hidden="1" x14ac:dyDescent="0.25">
      <c r="B5" s="17" t="s">
        <v>178</v>
      </c>
      <c r="J5" s="31"/>
    </row>
    <row r="7" spans="2:11" s="6" customFormat="1" ht="30" x14ac:dyDescent="0.25">
      <c r="B7" s="18" t="s">
        <v>26</v>
      </c>
      <c r="C7" s="19" t="s">
        <v>27</v>
      </c>
      <c r="D7" s="18" t="s">
        <v>28</v>
      </c>
      <c r="E7" s="20" t="s">
        <v>29</v>
      </c>
      <c r="F7" s="18" t="s">
        <v>30</v>
      </c>
      <c r="G7" s="20" t="s">
        <v>31</v>
      </c>
      <c r="H7" s="18" t="s">
        <v>32</v>
      </c>
      <c r="I7" s="20" t="s">
        <v>33</v>
      </c>
      <c r="J7" s="18" t="s">
        <v>34</v>
      </c>
      <c r="K7" s="21" t="s">
        <v>35</v>
      </c>
    </row>
    <row r="8" spans="2:11" hidden="1" x14ac:dyDescent="0.25">
      <c r="B8" s="22" t="s">
        <v>179</v>
      </c>
      <c r="C8" s="23"/>
      <c r="D8" s="22"/>
      <c r="E8" s="24"/>
      <c r="F8" s="22"/>
      <c r="G8" s="24" t="s">
        <v>180</v>
      </c>
      <c r="H8" s="25"/>
      <c r="I8" s="26"/>
      <c r="J8" s="25">
        <f>1206.28</f>
        <v>1206.28</v>
      </c>
      <c r="K8" s="97"/>
    </row>
    <row r="9" spans="2:11" hidden="1" x14ac:dyDescent="0.25">
      <c r="B9" s="98" t="s">
        <v>181</v>
      </c>
      <c r="C9" s="99"/>
      <c r="D9" s="98"/>
      <c r="E9" s="28"/>
      <c r="F9" s="98"/>
      <c r="G9" s="28"/>
      <c r="H9" s="27"/>
      <c r="I9" s="100"/>
      <c r="J9" s="27">
        <f>J8</f>
        <v>1206.28</v>
      </c>
      <c r="K9" s="101" t="s">
        <v>38</v>
      </c>
    </row>
    <row r="10" spans="2:11" hidden="1" x14ac:dyDescent="0.25">
      <c r="B10" s="98" t="s">
        <v>182</v>
      </c>
      <c r="C10" s="99"/>
      <c r="D10" s="98"/>
      <c r="E10" s="28"/>
      <c r="F10" s="98"/>
      <c r="G10" s="28"/>
      <c r="H10" s="27"/>
      <c r="I10" s="100"/>
      <c r="J10" s="27">
        <f>J9</f>
        <v>1206.28</v>
      </c>
      <c r="K10" s="101" t="s">
        <v>38</v>
      </c>
    </row>
    <row r="11" spans="2:11" hidden="1" x14ac:dyDescent="0.25">
      <c r="B11" s="22" t="s">
        <v>183</v>
      </c>
      <c r="C11" s="23"/>
      <c r="D11" s="22"/>
      <c r="E11" s="24"/>
      <c r="F11" s="22"/>
      <c r="G11" s="24" t="s">
        <v>134</v>
      </c>
      <c r="H11" s="25"/>
      <c r="I11" s="26">
        <v>5.14</v>
      </c>
      <c r="J11" s="25">
        <f>J10+H11-I11</f>
        <v>1201.1399999999999</v>
      </c>
      <c r="K11" s="97"/>
    </row>
    <row r="12" spans="2:11" hidden="1" x14ac:dyDescent="0.25">
      <c r="B12" s="22" t="s">
        <v>184</v>
      </c>
      <c r="C12" s="23"/>
      <c r="D12" s="22"/>
      <c r="E12" s="24"/>
      <c r="F12" s="22" t="s">
        <v>185</v>
      </c>
      <c r="G12" s="24" t="s">
        <v>186</v>
      </c>
      <c r="H12" s="25">
        <v>1225</v>
      </c>
      <c r="I12" s="26"/>
      <c r="J12" s="25">
        <f>J11+H12-I12</f>
        <v>2426.14</v>
      </c>
      <c r="K12" s="97" t="s">
        <v>185</v>
      </c>
    </row>
    <row r="13" spans="2:11" hidden="1" x14ac:dyDescent="0.25">
      <c r="B13" s="98" t="s">
        <v>187</v>
      </c>
      <c r="C13" s="99"/>
      <c r="D13" s="98"/>
      <c r="E13" s="28"/>
      <c r="F13" s="98"/>
      <c r="G13" s="28"/>
      <c r="H13" s="27"/>
      <c r="I13" s="100"/>
      <c r="J13" s="27">
        <f>J12+H13-I13</f>
        <v>2426.14</v>
      </c>
      <c r="K13" s="101" t="s">
        <v>38</v>
      </c>
    </row>
    <row r="14" spans="2:11" hidden="1" x14ac:dyDescent="0.25">
      <c r="B14" s="22" t="s">
        <v>188</v>
      </c>
      <c r="C14" s="23"/>
      <c r="D14" s="22">
        <v>304</v>
      </c>
      <c r="E14" s="24" t="s">
        <v>189</v>
      </c>
      <c r="F14" s="22"/>
      <c r="G14" s="24" t="s">
        <v>190</v>
      </c>
      <c r="H14" s="25"/>
      <c r="I14" s="26">
        <v>100</v>
      </c>
      <c r="J14" s="25">
        <f t="shared" ref="J14:J40" si="0">J13+H14-I14</f>
        <v>2326.14</v>
      </c>
      <c r="K14" s="97"/>
    </row>
    <row r="15" spans="2:11" hidden="1" x14ac:dyDescent="0.25">
      <c r="B15" s="22" t="s">
        <v>191</v>
      </c>
      <c r="C15" s="23"/>
      <c r="D15" s="22">
        <v>308</v>
      </c>
      <c r="E15" s="24" t="s">
        <v>192</v>
      </c>
      <c r="F15" s="22"/>
      <c r="G15" s="24"/>
      <c r="H15" s="25"/>
      <c r="I15" s="26">
        <v>200</v>
      </c>
      <c r="J15" s="25">
        <f t="shared" si="0"/>
        <v>2126.14</v>
      </c>
      <c r="K15" s="97"/>
    </row>
    <row r="16" spans="2:11" hidden="1" x14ac:dyDescent="0.25">
      <c r="B16" s="22" t="s">
        <v>193</v>
      </c>
      <c r="C16" s="23"/>
      <c r="D16" s="22"/>
      <c r="E16" s="24"/>
      <c r="F16" s="22" t="s">
        <v>194</v>
      </c>
      <c r="G16" s="24" t="s">
        <v>186</v>
      </c>
      <c r="H16" s="25">
        <v>825</v>
      </c>
      <c r="I16" s="26"/>
      <c r="J16" s="25">
        <f t="shared" si="0"/>
        <v>2951.14</v>
      </c>
      <c r="K16" s="97" t="s">
        <v>194</v>
      </c>
    </row>
    <row r="17" spans="2:11" hidden="1" x14ac:dyDescent="0.25">
      <c r="B17" s="98" t="s">
        <v>195</v>
      </c>
      <c r="C17" s="99"/>
      <c r="D17" s="98"/>
      <c r="E17" s="28"/>
      <c r="F17" s="98"/>
      <c r="G17" s="28"/>
      <c r="H17" s="27"/>
      <c r="I17" s="100"/>
      <c r="J17" s="27">
        <f t="shared" si="0"/>
        <v>2951.14</v>
      </c>
      <c r="K17" s="101" t="s">
        <v>38</v>
      </c>
    </row>
    <row r="18" spans="2:11" hidden="1" x14ac:dyDescent="0.25">
      <c r="B18" s="22" t="s">
        <v>196</v>
      </c>
      <c r="C18" s="23"/>
      <c r="D18" s="22">
        <v>310</v>
      </c>
      <c r="E18" s="24" t="s">
        <v>111</v>
      </c>
      <c r="F18" s="22"/>
      <c r="G18" s="24" t="s">
        <v>197</v>
      </c>
      <c r="H18" s="25"/>
      <c r="I18" s="26">
        <v>475.47</v>
      </c>
      <c r="J18" s="25">
        <f t="shared" si="0"/>
        <v>2475.67</v>
      </c>
      <c r="K18" s="97"/>
    </row>
    <row r="19" spans="2:11" hidden="1" x14ac:dyDescent="0.25">
      <c r="B19" s="22" t="s">
        <v>198</v>
      </c>
      <c r="C19" s="23"/>
      <c r="D19" s="22"/>
      <c r="E19" s="24"/>
      <c r="F19" s="22" t="s">
        <v>44</v>
      </c>
      <c r="G19" s="24" t="s">
        <v>199</v>
      </c>
      <c r="H19" s="25">
        <v>250</v>
      </c>
      <c r="I19" s="26"/>
      <c r="J19" s="25">
        <f t="shared" si="0"/>
        <v>2725.67</v>
      </c>
      <c r="K19" s="97"/>
    </row>
    <row r="20" spans="2:11" hidden="1" x14ac:dyDescent="0.25">
      <c r="B20" s="22" t="s">
        <v>200</v>
      </c>
      <c r="C20" s="23"/>
      <c r="D20" s="22">
        <v>309</v>
      </c>
      <c r="E20" s="24" t="s">
        <v>201</v>
      </c>
      <c r="F20" s="22"/>
      <c r="G20" s="24" t="s">
        <v>202</v>
      </c>
      <c r="H20" s="25"/>
      <c r="I20" s="26">
        <v>306.62</v>
      </c>
      <c r="J20" s="25">
        <f t="shared" si="0"/>
        <v>2419.0500000000002</v>
      </c>
      <c r="K20" s="97"/>
    </row>
    <row r="21" spans="2:11" hidden="1" x14ac:dyDescent="0.25">
      <c r="B21" s="22" t="s">
        <v>203</v>
      </c>
      <c r="C21" s="23"/>
      <c r="D21" s="22"/>
      <c r="E21" s="24"/>
      <c r="F21" s="22"/>
      <c r="G21" s="24" t="s">
        <v>134</v>
      </c>
      <c r="H21" s="25"/>
      <c r="I21" s="26">
        <v>4.68</v>
      </c>
      <c r="J21" s="25">
        <f t="shared" si="0"/>
        <v>2414.3700000000003</v>
      </c>
      <c r="K21" s="97"/>
    </row>
    <row r="22" spans="2:11" hidden="1" x14ac:dyDescent="0.25">
      <c r="B22" s="98" t="s">
        <v>204</v>
      </c>
      <c r="C22" s="99"/>
      <c r="D22" s="98"/>
      <c r="E22" s="28"/>
      <c r="F22" s="98"/>
      <c r="G22" s="28"/>
      <c r="H22" s="27"/>
      <c r="I22" s="100"/>
      <c r="J22" s="27">
        <f t="shared" si="0"/>
        <v>2414.3700000000003</v>
      </c>
      <c r="K22" s="101" t="s">
        <v>38</v>
      </c>
    </row>
    <row r="23" spans="2:11" hidden="1" x14ac:dyDescent="0.25">
      <c r="B23" s="22" t="s">
        <v>205</v>
      </c>
      <c r="C23" s="23"/>
      <c r="D23" s="22">
        <v>311</v>
      </c>
      <c r="E23" s="24" t="s">
        <v>111</v>
      </c>
      <c r="F23" s="22"/>
      <c r="G23" s="24" t="s">
        <v>206</v>
      </c>
      <c r="H23" s="25"/>
      <c r="I23" s="26">
        <v>77</v>
      </c>
      <c r="J23" s="25">
        <f t="shared" si="0"/>
        <v>2337.3700000000003</v>
      </c>
      <c r="K23" s="97"/>
    </row>
    <row r="24" spans="2:11" hidden="1" x14ac:dyDescent="0.25">
      <c r="B24" s="22" t="s">
        <v>207</v>
      </c>
      <c r="C24" s="23" t="s">
        <v>208</v>
      </c>
      <c r="D24" s="22">
        <v>312</v>
      </c>
      <c r="E24" s="24" t="s">
        <v>209</v>
      </c>
      <c r="F24" s="22"/>
      <c r="G24" s="24" t="s">
        <v>210</v>
      </c>
      <c r="H24" s="25"/>
      <c r="I24" s="26">
        <v>430</v>
      </c>
      <c r="J24" s="25">
        <f t="shared" si="0"/>
        <v>1907.3700000000003</v>
      </c>
      <c r="K24" s="97"/>
    </row>
    <row r="25" spans="2:11" hidden="1" x14ac:dyDescent="0.25">
      <c r="B25" s="98" t="s">
        <v>211</v>
      </c>
      <c r="C25" s="99"/>
      <c r="D25" s="98"/>
      <c r="E25" s="28"/>
      <c r="F25" s="98"/>
      <c r="G25" s="28"/>
      <c r="H25" s="27"/>
      <c r="I25" s="100"/>
      <c r="J25" s="27">
        <f t="shared" si="0"/>
        <v>1907.3700000000003</v>
      </c>
      <c r="K25" s="101" t="s">
        <v>38</v>
      </c>
    </row>
    <row r="26" spans="2:11" hidden="1" x14ac:dyDescent="0.25">
      <c r="B26" s="22" t="s">
        <v>212</v>
      </c>
      <c r="C26" s="23"/>
      <c r="D26" s="22">
        <v>314</v>
      </c>
      <c r="E26" s="24" t="s">
        <v>213</v>
      </c>
      <c r="F26" s="22"/>
      <c r="G26" s="24" t="s">
        <v>214</v>
      </c>
      <c r="H26" s="25"/>
      <c r="I26" s="26">
        <v>63.6</v>
      </c>
      <c r="J26" s="25">
        <f t="shared" si="0"/>
        <v>1843.7700000000004</v>
      </c>
      <c r="K26" s="97"/>
    </row>
    <row r="27" spans="2:11" hidden="1" x14ac:dyDescent="0.25">
      <c r="B27" s="22" t="s">
        <v>215</v>
      </c>
      <c r="C27" s="23"/>
      <c r="D27" s="22"/>
      <c r="E27" s="24"/>
      <c r="F27" s="22" t="s">
        <v>216</v>
      </c>
      <c r="G27" s="24" t="s">
        <v>186</v>
      </c>
      <c r="H27" s="25">
        <v>2570</v>
      </c>
      <c r="I27" s="26"/>
      <c r="J27" s="25">
        <f t="shared" si="0"/>
        <v>4413.7700000000004</v>
      </c>
      <c r="K27" s="97" t="s">
        <v>216</v>
      </c>
    </row>
    <row r="28" spans="2:11" hidden="1" x14ac:dyDescent="0.25">
      <c r="B28" s="22" t="s">
        <v>217</v>
      </c>
      <c r="C28" s="23"/>
      <c r="D28" s="22">
        <v>313</v>
      </c>
      <c r="E28" s="24" t="s">
        <v>218</v>
      </c>
      <c r="F28" s="22"/>
      <c r="G28" s="24" t="s">
        <v>214</v>
      </c>
      <c r="H28" s="25"/>
      <c r="I28" s="26">
        <v>63.6</v>
      </c>
      <c r="J28" s="25">
        <f t="shared" si="0"/>
        <v>4350.17</v>
      </c>
      <c r="K28" s="97"/>
    </row>
    <row r="29" spans="2:11" hidden="1" x14ac:dyDescent="0.25">
      <c r="B29" s="22" t="s">
        <v>217</v>
      </c>
      <c r="C29" s="23"/>
      <c r="D29" s="22">
        <v>317</v>
      </c>
      <c r="E29" s="24"/>
      <c r="F29" s="22"/>
      <c r="G29" s="24" t="s">
        <v>219</v>
      </c>
      <c r="H29" s="25"/>
      <c r="I29" s="26">
        <v>1380</v>
      </c>
      <c r="J29" s="25">
        <f t="shared" si="0"/>
        <v>2970.17</v>
      </c>
      <c r="K29" s="97"/>
    </row>
    <row r="30" spans="2:11" hidden="1" x14ac:dyDescent="0.25">
      <c r="B30" s="98" t="s">
        <v>220</v>
      </c>
      <c r="C30" s="99"/>
      <c r="D30" s="98"/>
      <c r="E30" s="28"/>
      <c r="F30" s="98"/>
      <c r="G30" s="28"/>
      <c r="H30" s="27"/>
      <c r="I30" s="100"/>
      <c r="J30" s="27">
        <f t="shared" si="0"/>
        <v>2970.17</v>
      </c>
      <c r="K30" s="28" t="s">
        <v>38</v>
      </c>
    </row>
    <row r="31" spans="2:11" hidden="1" x14ac:dyDescent="0.25">
      <c r="B31" s="22" t="s">
        <v>221</v>
      </c>
      <c r="C31" s="23"/>
      <c r="D31" s="22"/>
      <c r="E31" s="24"/>
      <c r="F31" s="22"/>
      <c r="G31" s="24" t="s">
        <v>222</v>
      </c>
      <c r="H31" s="25"/>
      <c r="I31" s="26">
        <f>6.36</f>
        <v>6.36</v>
      </c>
      <c r="J31" s="25">
        <f t="shared" si="0"/>
        <v>2963.81</v>
      </c>
      <c r="K31" s="24"/>
    </row>
    <row r="32" spans="2:11" hidden="1" x14ac:dyDescent="0.25">
      <c r="B32" s="22" t="s">
        <v>223</v>
      </c>
      <c r="C32" s="23"/>
      <c r="D32" s="22">
        <v>316</v>
      </c>
      <c r="E32" s="24" t="s">
        <v>224</v>
      </c>
      <c r="F32" s="22"/>
      <c r="G32" s="24" t="s">
        <v>214</v>
      </c>
      <c r="H32" s="25"/>
      <c r="I32" s="26">
        <v>63.6</v>
      </c>
      <c r="J32" s="27">
        <f t="shared" si="0"/>
        <v>2900.21</v>
      </c>
      <c r="K32" s="28" t="s">
        <v>38</v>
      </c>
    </row>
    <row r="33" spans="2:11" hidden="1" x14ac:dyDescent="0.25">
      <c r="B33" s="22" t="s">
        <v>225</v>
      </c>
      <c r="C33" s="23"/>
      <c r="D33" s="22">
        <v>320</v>
      </c>
      <c r="E33" s="24" t="s">
        <v>226</v>
      </c>
      <c r="F33" s="22"/>
      <c r="G33" s="24" t="s">
        <v>227</v>
      </c>
      <c r="H33" s="25"/>
      <c r="I33" s="26">
        <v>162</v>
      </c>
      <c r="J33" s="25">
        <f t="shared" si="0"/>
        <v>2738.21</v>
      </c>
      <c r="K33" s="24"/>
    </row>
    <row r="34" spans="2:11" hidden="1" x14ac:dyDescent="0.25">
      <c r="B34" s="22" t="s">
        <v>228</v>
      </c>
      <c r="C34" s="23"/>
      <c r="D34" s="22">
        <v>318</v>
      </c>
      <c r="E34" s="24" t="s">
        <v>229</v>
      </c>
      <c r="F34" s="22"/>
      <c r="G34" s="24" t="s">
        <v>230</v>
      </c>
      <c r="H34" s="25"/>
      <c r="I34" s="26">
        <v>80</v>
      </c>
      <c r="J34" s="25">
        <f t="shared" si="0"/>
        <v>2658.21</v>
      </c>
      <c r="K34" s="24"/>
    </row>
    <row r="35" spans="2:11" hidden="1" x14ac:dyDescent="0.25">
      <c r="B35" s="22" t="s">
        <v>228</v>
      </c>
      <c r="C35" s="23"/>
      <c r="D35" s="22">
        <v>321</v>
      </c>
      <c r="E35" s="24" t="s">
        <v>111</v>
      </c>
      <c r="F35" s="22"/>
      <c r="G35" s="24" t="s">
        <v>231</v>
      </c>
      <c r="H35" s="25"/>
      <c r="I35" s="26">
        <v>242.31</v>
      </c>
      <c r="J35" s="25">
        <f t="shared" si="0"/>
        <v>2415.9</v>
      </c>
      <c r="K35" s="24"/>
    </row>
    <row r="36" spans="2:11" hidden="1" x14ac:dyDescent="0.25">
      <c r="B36" s="22" t="s">
        <v>228</v>
      </c>
      <c r="C36" s="23"/>
      <c r="D36" s="22">
        <v>322</v>
      </c>
      <c r="E36" s="24" t="s">
        <v>232</v>
      </c>
      <c r="F36" s="22"/>
      <c r="G36" s="24" t="s">
        <v>233</v>
      </c>
      <c r="H36" s="25"/>
      <c r="I36" s="26">
        <v>95.94</v>
      </c>
      <c r="J36" s="25">
        <f t="shared" si="0"/>
        <v>2319.96</v>
      </c>
      <c r="K36" s="24"/>
    </row>
    <row r="37" spans="2:11" hidden="1" x14ac:dyDescent="0.25">
      <c r="B37" s="22" t="s">
        <v>234</v>
      </c>
      <c r="C37" s="23"/>
      <c r="D37" s="22"/>
      <c r="E37" s="24" t="s">
        <v>235</v>
      </c>
      <c r="F37" s="22"/>
      <c r="G37" s="24" t="s">
        <v>235</v>
      </c>
      <c r="H37" s="25">
        <v>200</v>
      </c>
      <c r="I37" s="26"/>
      <c r="J37" s="25">
        <f t="shared" si="0"/>
        <v>2519.96</v>
      </c>
      <c r="K37" s="24"/>
    </row>
    <row r="38" spans="2:11" x14ac:dyDescent="0.25">
      <c r="B38" s="22" t="s">
        <v>236</v>
      </c>
      <c r="C38" s="23"/>
      <c r="D38" s="22"/>
      <c r="E38" s="24" t="s">
        <v>237</v>
      </c>
      <c r="F38" s="22"/>
      <c r="G38" s="24" t="s">
        <v>238</v>
      </c>
      <c r="H38" s="40">
        <v>290</v>
      </c>
      <c r="I38" s="26"/>
      <c r="J38" s="25">
        <f t="shared" si="0"/>
        <v>2809.96</v>
      </c>
      <c r="K38" s="28" t="s">
        <v>38</v>
      </c>
    </row>
    <row r="39" spans="2:11" x14ac:dyDescent="0.25">
      <c r="B39" s="22" t="s">
        <v>239</v>
      </c>
      <c r="C39" s="23"/>
      <c r="D39" s="22"/>
      <c r="E39" s="24" t="s">
        <v>237</v>
      </c>
      <c r="F39" s="22"/>
      <c r="G39" s="24" t="s">
        <v>240</v>
      </c>
      <c r="H39" s="40">
        <v>703</v>
      </c>
      <c r="I39" s="26"/>
      <c r="J39" s="25">
        <f t="shared" si="0"/>
        <v>3512.96</v>
      </c>
      <c r="K39" s="24"/>
    </row>
    <row r="40" spans="2:11" x14ac:dyDescent="0.25">
      <c r="B40" s="124" t="s">
        <v>241</v>
      </c>
      <c r="C40" s="125"/>
      <c r="D40" s="124"/>
      <c r="E40" s="126" t="s">
        <v>237</v>
      </c>
      <c r="F40" s="124"/>
      <c r="G40" s="126" t="s">
        <v>242</v>
      </c>
      <c r="H40" s="128">
        <v>390</v>
      </c>
      <c r="I40" s="127"/>
      <c r="J40" s="43">
        <f t="shared" si="0"/>
        <v>3902.96</v>
      </c>
      <c r="K40" s="103" t="s">
        <v>38</v>
      </c>
    </row>
    <row r="41" spans="2:11" x14ac:dyDescent="0.25">
      <c r="B41" s="24"/>
      <c r="C41" s="23"/>
      <c r="D41" s="24"/>
      <c r="E41" s="24"/>
      <c r="F41" s="24"/>
      <c r="G41" s="24"/>
      <c r="H41" s="26"/>
      <c r="I41" s="26"/>
      <c r="J41" s="26"/>
      <c r="K41" s="24"/>
    </row>
    <row r="42" spans="2:11" x14ac:dyDescent="0.25">
      <c r="B42" s="29" t="s">
        <v>46</v>
      </c>
      <c r="C42" s="23"/>
      <c r="D42" s="24"/>
      <c r="E42" s="24"/>
      <c r="F42" s="24"/>
      <c r="G42" s="24"/>
      <c r="H42" s="26"/>
      <c r="I42" s="26"/>
      <c r="J42" s="26">
        <f>H40/2</f>
        <v>195</v>
      </c>
      <c r="K42" s="24"/>
    </row>
    <row r="43" spans="2:11" x14ac:dyDescent="0.25">
      <c r="H43" s="30"/>
      <c r="I43" s="30"/>
      <c r="J43" s="30">
        <f>H40/2</f>
        <v>195</v>
      </c>
    </row>
    <row r="44" spans="2:11" x14ac:dyDescent="0.25">
      <c r="B44" s="15" t="s">
        <v>47</v>
      </c>
    </row>
    <row r="45" spans="2:11" x14ac:dyDescent="0.25">
      <c r="B45" s="17" t="s">
        <v>249</v>
      </c>
      <c r="I45" s="30">
        <v>63.6</v>
      </c>
    </row>
    <row r="46" spans="2:11" x14ac:dyDescent="0.25">
      <c r="B46" s="17" t="s">
        <v>49</v>
      </c>
      <c r="I46" s="30">
        <v>225</v>
      </c>
    </row>
    <row r="47" spans="2:11" x14ac:dyDescent="0.25">
      <c r="B47" s="15" t="s">
        <v>50</v>
      </c>
      <c r="I47" s="30"/>
    </row>
    <row r="48" spans="2:11" x14ac:dyDescent="0.25">
      <c r="B48" s="17" t="s">
        <v>51</v>
      </c>
      <c r="I48" s="30">
        <v>348.12</v>
      </c>
    </row>
    <row r="49" spans="2:10" x14ac:dyDescent="0.25">
      <c r="I49" s="30"/>
    </row>
    <row r="50" spans="2:10" x14ac:dyDescent="0.25">
      <c r="I50" s="31">
        <f>SUM(I45:I49)</f>
        <v>636.72</v>
      </c>
    </row>
    <row r="51" spans="2:10" x14ac:dyDescent="0.25">
      <c r="B51" s="15" t="s">
        <v>52</v>
      </c>
    </row>
    <row r="52" spans="2:10" x14ac:dyDescent="0.25">
      <c r="B52" s="24" t="s">
        <v>53</v>
      </c>
      <c r="C52" s="23"/>
      <c r="H52" s="32">
        <v>0</v>
      </c>
    </row>
    <row r="53" spans="2:10" x14ac:dyDescent="0.25">
      <c r="B53" s="33" t="s">
        <v>54</v>
      </c>
      <c r="C53" s="23"/>
      <c r="H53" s="32"/>
    </row>
    <row r="54" spans="2:10" x14ac:dyDescent="0.25">
      <c r="B54" s="34" t="s">
        <v>250</v>
      </c>
      <c r="C54" s="23"/>
      <c r="H54" s="32">
        <v>150</v>
      </c>
    </row>
    <row r="55" spans="2:10" x14ac:dyDescent="0.25">
      <c r="B55" s="33"/>
      <c r="C55" s="23"/>
      <c r="H55" s="32"/>
    </row>
    <row r="56" spans="2:10" x14ac:dyDescent="0.25">
      <c r="B56" s="35" t="s">
        <v>55</v>
      </c>
      <c r="C56" s="36"/>
      <c r="D56" s="37"/>
      <c r="E56" s="37"/>
      <c r="F56" s="37"/>
      <c r="G56" s="37"/>
      <c r="H56" s="37"/>
      <c r="I56" s="37"/>
      <c r="J56" s="38">
        <f>J40-I45-I46-I48+H54</f>
        <v>3416.2400000000002</v>
      </c>
    </row>
    <row r="58" spans="2:10" x14ac:dyDescent="0.25">
      <c r="I58" s="30"/>
    </row>
    <row r="59" spans="2:10" x14ac:dyDescent="0.25">
      <c r="I59" s="30"/>
    </row>
    <row r="60" spans="2:10" x14ac:dyDescent="0.25">
      <c r="I60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3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A3" sqref="A3"/>
      <selection pane="bottomLeft" activeCell="A3" sqref="A3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8.28515625" style="17" customWidth="1"/>
    <col min="6" max="6" width="16.5703125" style="17" customWidth="1"/>
    <col min="7" max="7" width="43.710937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124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125</v>
      </c>
      <c r="C7" s="23"/>
      <c r="D7" s="22"/>
      <c r="E7" s="24"/>
      <c r="F7" s="22"/>
      <c r="G7" s="24"/>
      <c r="H7" s="25"/>
      <c r="I7" s="26">
        <v>4902.8500000000004</v>
      </c>
      <c r="J7" s="41">
        <f>I7</f>
        <v>4902.8500000000004</v>
      </c>
      <c r="K7" s="28" t="s">
        <v>126</v>
      </c>
    </row>
    <row r="8" spans="2:11" x14ac:dyDescent="0.25">
      <c r="B8" s="22" t="s">
        <v>127</v>
      </c>
      <c r="C8" s="23"/>
      <c r="D8" s="22"/>
      <c r="E8" s="24"/>
      <c r="F8" s="22" t="s">
        <v>128</v>
      </c>
      <c r="G8" s="24" t="s">
        <v>129</v>
      </c>
      <c r="H8" s="40">
        <v>350</v>
      </c>
      <c r="I8" s="26"/>
      <c r="J8" s="41">
        <f>J7+H8-I8</f>
        <v>5252.85</v>
      </c>
      <c r="K8" s="28"/>
    </row>
    <row r="9" spans="2:11" x14ac:dyDescent="0.25">
      <c r="B9" s="22" t="s">
        <v>130</v>
      </c>
      <c r="C9" s="23"/>
      <c r="D9" s="22"/>
      <c r="E9" s="24"/>
      <c r="F9" s="22"/>
      <c r="G9" s="24" t="s">
        <v>131</v>
      </c>
      <c r="H9" s="40">
        <v>500</v>
      </c>
      <c r="I9" s="26"/>
      <c r="J9" s="41">
        <f t="shared" ref="J9:J11" si="0">J8+H9-I9</f>
        <v>5752.85</v>
      </c>
      <c r="K9" s="28"/>
    </row>
    <row r="10" spans="2:11" x14ac:dyDescent="0.25">
      <c r="B10" s="22" t="s">
        <v>132</v>
      </c>
      <c r="C10" s="23"/>
      <c r="D10" s="22">
        <v>333</v>
      </c>
      <c r="E10" s="24" t="s">
        <v>111</v>
      </c>
      <c r="F10" s="22" t="s">
        <v>112</v>
      </c>
      <c r="G10" s="24" t="s">
        <v>148</v>
      </c>
      <c r="H10" s="25"/>
      <c r="I10" s="39">
        <v>514.97</v>
      </c>
      <c r="J10" s="41">
        <f t="shared" si="0"/>
        <v>5237.88</v>
      </c>
      <c r="K10" s="28"/>
    </row>
    <row r="11" spans="2:11" x14ac:dyDescent="0.25">
      <c r="B11" s="22" t="s">
        <v>133</v>
      </c>
      <c r="C11" s="23"/>
      <c r="D11" s="22"/>
      <c r="E11" s="24"/>
      <c r="F11" s="22"/>
      <c r="G11" s="24" t="s">
        <v>134</v>
      </c>
      <c r="H11" s="25"/>
      <c r="I11" s="39">
        <v>6.13</v>
      </c>
      <c r="J11" s="41">
        <f t="shared" si="0"/>
        <v>5231.75</v>
      </c>
      <c r="K11" s="28" t="s">
        <v>135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 t="s">
        <v>123</v>
      </c>
      <c r="K14" s="24"/>
    </row>
    <row r="15" spans="2:11" x14ac:dyDescent="0.25">
      <c r="H15" s="30"/>
      <c r="I15" s="30"/>
      <c r="J15" s="30">
        <v>280</v>
      </c>
      <c r="K15" s="17" t="s">
        <v>147</v>
      </c>
    </row>
    <row r="16" spans="2:11" x14ac:dyDescent="0.25">
      <c r="B16" s="15" t="s">
        <v>47</v>
      </c>
      <c r="J16" s="30">
        <f>I10-J15</f>
        <v>234.97000000000003</v>
      </c>
      <c r="K16" s="17" t="s">
        <v>149</v>
      </c>
    </row>
    <row r="17" spans="2:10" x14ac:dyDescent="0.25">
      <c r="B17" s="17" t="s">
        <v>136</v>
      </c>
      <c r="I17" s="43">
        <v>63.6</v>
      </c>
    </row>
    <row r="18" spans="2:10" x14ac:dyDescent="0.25">
      <c r="B18" s="17" t="s">
        <v>49</v>
      </c>
      <c r="I18" s="25">
        <v>225</v>
      </c>
    </row>
    <row r="19" spans="2:10" x14ac:dyDescent="0.25">
      <c r="B19" s="17" t="s">
        <v>137</v>
      </c>
      <c r="I19" s="25">
        <v>2118</v>
      </c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SUM(I17:I22)</f>
        <v>2406.6</v>
      </c>
    </row>
    <row r="24" spans="2:10" x14ac:dyDescent="0.25">
      <c r="B24" s="15" t="s">
        <v>52</v>
      </c>
    </row>
    <row r="25" spans="2:10" x14ac:dyDescent="0.25">
      <c r="B25" s="24"/>
      <c r="C25" s="23"/>
      <c r="H25" s="32"/>
      <c r="I25" s="78"/>
    </row>
    <row r="26" spans="2:10" x14ac:dyDescent="0.25">
      <c r="B26" s="33" t="s">
        <v>54</v>
      </c>
      <c r="C26" s="23"/>
      <c r="H26" s="32"/>
    </row>
    <row r="27" spans="2:10" x14ac:dyDescent="0.25">
      <c r="B27" s="34"/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J11-I23+I25</f>
        <v>2825.15</v>
      </c>
    </row>
    <row r="31" spans="2:10" x14ac:dyDescent="0.25">
      <c r="B31" s="79" t="s">
        <v>115</v>
      </c>
      <c r="C31" s="80"/>
      <c r="D31" s="81"/>
      <c r="E31" s="81"/>
      <c r="F31" s="81"/>
      <c r="G31" s="81"/>
      <c r="H31" s="81"/>
      <c r="I31" s="82"/>
      <c r="J31" s="83">
        <f>J9</f>
        <v>5752.85</v>
      </c>
    </row>
    <row r="32" spans="2:10" x14ac:dyDescent="0.25">
      <c r="B32" s="15" t="s">
        <v>116</v>
      </c>
      <c r="I32" s="30"/>
      <c r="J32" s="30" t="s">
        <v>92</v>
      </c>
    </row>
    <row r="33" spans="9:9" x14ac:dyDescent="0.25">
      <c r="I33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2"/>
  <sheetViews>
    <sheetView zoomScale="90" zoomScaleNormal="9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10" width="9.140625" style="15"/>
    <col min="11" max="11" width="11.140625" style="15" customWidth="1"/>
    <col min="12" max="16384" width="9.140625" style="15"/>
  </cols>
  <sheetData>
    <row r="2" spans="2:11" x14ac:dyDescent="0.25">
      <c r="B2" s="2" t="s">
        <v>130</v>
      </c>
    </row>
    <row r="3" spans="2:11" x14ac:dyDescent="0.25">
      <c r="B3" s="47"/>
      <c r="C3" s="48"/>
      <c r="D3" s="90"/>
    </row>
    <row r="4" spans="2:11" x14ac:dyDescent="0.25">
      <c r="B4" s="47" t="s">
        <v>138</v>
      </c>
      <c r="C4" s="48"/>
      <c r="D4" s="74">
        <v>120</v>
      </c>
    </row>
    <row r="5" spans="2:11" x14ac:dyDescent="0.25">
      <c r="B5" s="47" t="s">
        <v>138</v>
      </c>
      <c r="C5" s="48"/>
      <c r="D5" s="74">
        <v>160</v>
      </c>
      <c r="E5" s="15" t="s">
        <v>139</v>
      </c>
    </row>
    <row r="6" spans="2:11" x14ac:dyDescent="0.25">
      <c r="B6" s="59" t="s">
        <v>140</v>
      </c>
      <c r="C6" s="50"/>
      <c r="D6" s="91"/>
    </row>
    <row r="7" spans="2:11" x14ac:dyDescent="0.25">
      <c r="B7" s="53" t="s">
        <v>141</v>
      </c>
      <c r="C7" s="33"/>
      <c r="D7" s="76">
        <v>170</v>
      </c>
    </row>
    <row r="8" spans="2:11" x14ac:dyDescent="0.25">
      <c r="B8" s="53" t="s">
        <v>142</v>
      </c>
      <c r="C8" s="33"/>
      <c r="D8" s="76">
        <v>50</v>
      </c>
    </row>
    <row r="9" spans="2:11" x14ac:dyDescent="0.25">
      <c r="B9" s="54"/>
      <c r="C9" s="55"/>
      <c r="D9" s="92"/>
    </row>
    <row r="10" spans="2:11" x14ac:dyDescent="0.25">
      <c r="B10" s="56" t="s">
        <v>103</v>
      </c>
      <c r="C10" s="57"/>
      <c r="D10" s="58">
        <f>SUM(D3:D9)</f>
        <v>500</v>
      </c>
    </row>
    <row r="11" spans="2:11" x14ac:dyDescent="0.25">
      <c r="B11" s="59" t="s">
        <v>104</v>
      </c>
      <c r="C11" s="50"/>
      <c r="D11" s="60"/>
    </row>
    <row r="12" spans="2:11" x14ac:dyDescent="0.25">
      <c r="B12" s="51" t="s">
        <v>105</v>
      </c>
      <c r="C12" s="33"/>
      <c r="D12" s="61">
        <f>D10-40</f>
        <v>460</v>
      </c>
    </row>
    <row r="13" spans="2:11" x14ac:dyDescent="0.25">
      <c r="B13" s="62" t="s">
        <v>106</v>
      </c>
      <c r="C13" s="55"/>
      <c r="D13" s="63">
        <f>40</f>
        <v>40</v>
      </c>
    </row>
    <row r="15" spans="2:11" x14ac:dyDescent="0.25">
      <c r="E15" s="64">
        <v>50</v>
      </c>
      <c r="F15" s="65">
        <v>20</v>
      </c>
      <c r="G15" s="66">
        <v>10</v>
      </c>
      <c r="H15" s="65">
        <v>5</v>
      </c>
      <c r="I15" s="93">
        <v>2</v>
      </c>
      <c r="J15" s="94" t="s">
        <v>106</v>
      </c>
      <c r="K15" s="68" t="s">
        <v>143</v>
      </c>
    </row>
    <row r="16" spans="2:11" x14ac:dyDescent="0.25">
      <c r="E16" s="68">
        <v>3</v>
      </c>
      <c r="F16" s="68">
        <v>8</v>
      </c>
      <c r="G16" s="68">
        <v>1</v>
      </c>
      <c r="H16" s="68">
        <v>18</v>
      </c>
      <c r="I16" s="68">
        <v>25</v>
      </c>
      <c r="J16" s="68">
        <v>1</v>
      </c>
      <c r="K16" s="69"/>
    </row>
    <row r="17" spans="5:11" x14ac:dyDescent="0.25">
      <c r="E17" s="70">
        <f>E15*E16</f>
        <v>150</v>
      </c>
      <c r="F17" s="71">
        <f t="shared" ref="F17:H17" si="0">F15*F16</f>
        <v>160</v>
      </c>
      <c r="G17" s="72">
        <f t="shared" si="0"/>
        <v>10</v>
      </c>
      <c r="H17" s="71">
        <f t="shared" si="0"/>
        <v>90</v>
      </c>
      <c r="I17" s="71">
        <f>I15*I16</f>
        <v>50</v>
      </c>
      <c r="J17" s="71">
        <v>40</v>
      </c>
      <c r="K17" s="95">
        <f>SUM(E17:J17)</f>
        <v>500</v>
      </c>
    </row>
    <row r="19" spans="5:11" x14ac:dyDescent="0.25">
      <c r="E19" s="35" t="s">
        <v>35</v>
      </c>
      <c r="F19" s="73">
        <f>SUM(E17:H17)</f>
        <v>410</v>
      </c>
    </row>
    <row r="20" spans="5:11" x14ac:dyDescent="0.25">
      <c r="E20" s="68" t="s">
        <v>144</v>
      </c>
      <c r="F20" s="73">
        <f>I17</f>
        <v>50</v>
      </c>
    </row>
    <row r="21" spans="5:11" x14ac:dyDescent="0.25">
      <c r="E21" s="68" t="s">
        <v>145</v>
      </c>
      <c r="F21" s="73">
        <f>J17</f>
        <v>40</v>
      </c>
    </row>
    <row r="22" spans="5:11" x14ac:dyDescent="0.25">
      <c r="F22" s="95">
        <f>SUM(F19:F21)</f>
        <v>500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G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150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151</v>
      </c>
      <c r="C7" s="23"/>
      <c r="D7" s="22"/>
      <c r="E7" s="24"/>
      <c r="F7" s="22"/>
      <c r="G7" s="24"/>
      <c r="H7" s="25"/>
      <c r="I7" s="26"/>
      <c r="J7" s="41">
        <f>5231.75</f>
        <v>5231.75</v>
      </c>
      <c r="K7" s="28" t="s">
        <v>152</v>
      </c>
    </row>
    <row r="8" spans="2:11" x14ac:dyDescent="0.25">
      <c r="B8" s="22" t="s">
        <v>153</v>
      </c>
      <c r="C8" s="23"/>
      <c r="D8" s="22">
        <v>334</v>
      </c>
      <c r="E8" s="24" t="s">
        <v>154</v>
      </c>
      <c r="F8" s="22" t="s">
        <v>112</v>
      </c>
      <c r="G8" s="24" t="s">
        <v>158</v>
      </c>
      <c r="H8" s="25"/>
      <c r="I8" s="39">
        <v>2118</v>
      </c>
      <c r="J8" s="41">
        <f>J7+H8-I8</f>
        <v>3113.75</v>
      </c>
      <c r="K8" s="28"/>
    </row>
    <row r="9" spans="2:11" x14ac:dyDescent="0.25">
      <c r="B9" s="22" t="s">
        <v>155</v>
      </c>
      <c r="C9" s="23"/>
      <c r="D9" s="22">
        <v>336</v>
      </c>
      <c r="E9" s="24" t="s">
        <v>111</v>
      </c>
      <c r="F9" s="22" t="s">
        <v>112</v>
      </c>
      <c r="G9" s="24" t="s">
        <v>156</v>
      </c>
      <c r="H9" s="25"/>
      <c r="I9" s="39">
        <v>24</v>
      </c>
      <c r="J9" s="41">
        <f t="shared" ref="J9" si="0">J8+H9-I9</f>
        <v>3089.75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I17" s="25"/>
    </row>
    <row r="18" spans="2:10" x14ac:dyDescent="0.25">
      <c r="B18" s="15" t="s">
        <v>50</v>
      </c>
      <c r="I18" s="25"/>
    </row>
    <row r="19" spans="2:10" x14ac:dyDescent="0.25">
      <c r="I19" s="25"/>
    </row>
    <row r="20" spans="2:10" x14ac:dyDescent="0.25">
      <c r="I20" s="44"/>
    </row>
    <row r="21" spans="2:10" x14ac:dyDescent="0.25">
      <c r="I21" s="45">
        <f>SUM(I15:I20)</f>
        <v>288.60000000000002</v>
      </c>
    </row>
    <row r="22" spans="2:10" x14ac:dyDescent="0.25">
      <c r="B22" s="15" t="s">
        <v>52</v>
      </c>
    </row>
    <row r="23" spans="2:10" x14ac:dyDescent="0.25">
      <c r="B23" s="24"/>
      <c r="C23" s="23"/>
      <c r="H23" s="32"/>
      <c r="I23" s="78"/>
    </row>
    <row r="24" spans="2:10" x14ac:dyDescent="0.25">
      <c r="B24" s="33" t="s">
        <v>54</v>
      </c>
      <c r="C24" s="23"/>
      <c r="H24" s="32"/>
    </row>
    <row r="25" spans="2:10" x14ac:dyDescent="0.25">
      <c r="B25" s="34"/>
      <c r="C25" s="23"/>
      <c r="H25" s="32"/>
    </row>
    <row r="26" spans="2:10" x14ac:dyDescent="0.25">
      <c r="B26" s="33"/>
      <c r="C26" s="23"/>
      <c r="H26" s="32"/>
    </row>
    <row r="27" spans="2:10" x14ac:dyDescent="0.25">
      <c r="B27" s="35" t="s">
        <v>55</v>
      </c>
      <c r="C27" s="36"/>
      <c r="D27" s="37"/>
      <c r="E27" s="37"/>
      <c r="F27" s="37"/>
      <c r="G27" s="37"/>
      <c r="H27" s="37"/>
      <c r="I27" s="37"/>
      <c r="J27" s="38">
        <f>J9-I21+I23</f>
        <v>2801.15</v>
      </c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161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162</v>
      </c>
      <c r="C7" s="23"/>
      <c r="D7" s="22"/>
      <c r="E7" s="24"/>
      <c r="F7" s="22"/>
      <c r="G7" s="24"/>
      <c r="H7" s="25"/>
      <c r="I7" s="26"/>
      <c r="J7" s="41">
        <v>3089.75</v>
      </c>
      <c r="K7" s="28" t="s">
        <v>164</v>
      </c>
    </row>
    <row r="8" spans="2:11" x14ac:dyDescent="0.25">
      <c r="B8" s="22" t="s">
        <v>163</v>
      </c>
      <c r="C8" s="23"/>
      <c r="D8" s="22">
        <v>335</v>
      </c>
      <c r="E8" s="24" t="s">
        <v>88</v>
      </c>
      <c r="F8" s="22" t="s">
        <v>112</v>
      </c>
      <c r="G8" s="24"/>
      <c r="H8" s="25"/>
      <c r="I8" s="39">
        <v>420</v>
      </c>
      <c r="J8" s="41">
        <f>J7+H8-I8</f>
        <v>2669.75</v>
      </c>
      <c r="K8" s="28"/>
    </row>
    <row r="9" spans="2:11" x14ac:dyDescent="0.25">
      <c r="B9" s="22" t="s">
        <v>163</v>
      </c>
      <c r="C9" s="23"/>
      <c r="D9" s="22"/>
      <c r="E9" s="24"/>
      <c r="F9" s="22"/>
      <c r="G9" s="24"/>
      <c r="H9" s="25"/>
      <c r="I9" s="26"/>
      <c r="J9" s="41">
        <f t="shared" ref="J9" si="0">J8+H9-I9</f>
        <v>2669.75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136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7" t="s">
        <v>165</v>
      </c>
      <c r="I17" s="25">
        <v>300</v>
      </c>
    </row>
    <row r="18" spans="2:10" x14ac:dyDescent="0.25">
      <c r="B18" s="17" t="s">
        <v>166</v>
      </c>
      <c r="I18" s="25">
        <v>230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SUM(I15:I21)</f>
        <v>818.6</v>
      </c>
    </row>
    <row r="23" spans="2:10" x14ac:dyDescent="0.25">
      <c r="B23" s="15" t="s">
        <v>52</v>
      </c>
    </row>
    <row r="24" spans="2:10" x14ac:dyDescent="0.25">
      <c r="B24" s="24"/>
      <c r="C24" s="23"/>
      <c r="H24" s="32"/>
      <c r="I24" s="78"/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J9-I22+I24</f>
        <v>1851.15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278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163</v>
      </c>
      <c r="C7" s="23"/>
      <c r="D7" s="22"/>
      <c r="E7" s="24"/>
      <c r="F7" s="22"/>
      <c r="G7" s="24"/>
      <c r="H7" s="25"/>
      <c r="I7" s="26"/>
      <c r="J7" s="41">
        <v>2669.75</v>
      </c>
      <c r="K7" s="28" t="s">
        <v>164</v>
      </c>
    </row>
    <row r="8" spans="2:11" x14ac:dyDescent="0.25">
      <c r="B8" s="22"/>
      <c r="C8" s="23"/>
      <c r="D8" s="22"/>
      <c r="E8" s="24"/>
      <c r="F8" s="22"/>
      <c r="G8" s="24"/>
      <c r="H8" s="25"/>
      <c r="I8" s="26"/>
      <c r="J8" s="41"/>
      <c r="K8" s="28"/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41">
        <v>3434.26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84" t="s">
        <v>75</v>
      </c>
      <c r="E12" s="84"/>
      <c r="F12" s="84"/>
      <c r="G12" s="84"/>
      <c r="H12" s="26"/>
      <c r="I12" s="85">
        <v>300</v>
      </c>
      <c r="J12" s="26"/>
      <c r="K12" s="24"/>
    </row>
    <row r="13" spans="2:11" x14ac:dyDescent="0.25">
      <c r="D13" s="81" t="s">
        <v>160</v>
      </c>
      <c r="E13" s="81"/>
      <c r="F13" s="81"/>
      <c r="G13" s="81"/>
      <c r="H13" s="30"/>
      <c r="I13" s="82">
        <v>230</v>
      </c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7" t="s">
        <v>165</v>
      </c>
      <c r="I17" s="25">
        <v>300</v>
      </c>
    </row>
    <row r="18" spans="2:10" x14ac:dyDescent="0.25">
      <c r="B18" s="17" t="s">
        <v>166</v>
      </c>
      <c r="I18" s="25">
        <v>230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SUM(I15:I21)</f>
        <v>818.6</v>
      </c>
    </row>
    <row r="23" spans="2:10" x14ac:dyDescent="0.25">
      <c r="B23" s="15" t="s">
        <v>52</v>
      </c>
    </row>
    <row r="24" spans="2:10" x14ac:dyDescent="0.25">
      <c r="B24" s="24" t="s">
        <v>168</v>
      </c>
      <c r="C24" s="23"/>
      <c r="H24" s="32"/>
      <c r="I24" s="78">
        <v>1300</v>
      </c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J9-I22+I24</f>
        <v>3915.6600000000003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22"/>
  <sheetViews>
    <sheetView zoomScale="90" zoomScaleNormal="90" workbookViewId="0">
      <pane xSplit="3" ySplit="2" topLeftCell="D3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5" width="9.140625" style="15"/>
    <col min="6" max="6" width="11.7109375" style="15" customWidth="1"/>
    <col min="7" max="10" width="9.140625" style="15"/>
    <col min="11" max="11" width="11.140625" style="15" customWidth="1"/>
    <col min="12" max="16384" width="9.140625" style="15"/>
  </cols>
  <sheetData>
    <row r="2" spans="2:11" x14ac:dyDescent="0.25">
      <c r="B2" s="2"/>
    </row>
    <row r="3" spans="2:11" x14ac:dyDescent="0.25">
      <c r="B3" s="47"/>
      <c r="C3" s="48"/>
      <c r="D3" s="90"/>
    </row>
    <row r="4" spans="2:11" x14ac:dyDescent="0.25">
      <c r="B4" s="47" t="s">
        <v>169</v>
      </c>
      <c r="C4" s="48"/>
      <c r="D4" s="74">
        <v>470</v>
      </c>
      <c r="K4" s="15">
        <f>830+470</f>
        <v>1300</v>
      </c>
    </row>
    <row r="5" spans="2:11" x14ac:dyDescent="0.25">
      <c r="B5" s="47" t="s">
        <v>138</v>
      </c>
      <c r="C5" s="48"/>
      <c r="D5" s="90"/>
    </row>
    <row r="6" spans="2:11" x14ac:dyDescent="0.25">
      <c r="B6" s="59" t="s">
        <v>170</v>
      </c>
      <c r="C6" s="50"/>
      <c r="D6" s="91"/>
    </row>
    <row r="7" spans="2:11" x14ac:dyDescent="0.25">
      <c r="B7" s="53" t="s">
        <v>171</v>
      </c>
      <c r="C7" s="33"/>
      <c r="D7" s="76">
        <v>830</v>
      </c>
    </row>
    <row r="8" spans="2:11" x14ac:dyDescent="0.25">
      <c r="B8" s="53"/>
      <c r="C8" s="33"/>
      <c r="D8" s="52"/>
    </row>
    <row r="9" spans="2:11" x14ac:dyDescent="0.25">
      <c r="B9" s="54"/>
      <c r="C9" s="55"/>
      <c r="D9" s="92"/>
    </row>
    <row r="10" spans="2:11" x14ac:dyDescent="0.25">
      <c r="B10" s="56" t="s">
        <v>103</v>
      </c>
      <c r="C10" s="57"/>
      <c r="D10" s="58">
        <f>SUM(D3:D9)</f>
        <v>1300</v>
      </c>
    </row>
    <row r="11" spans="2:11" x14ac:dyDescent="0.25">
      <c r="B11" s="59" t="s">
        <v>104</v>
      </c>
      <c r="C11" s="50"/>
      <c r="D11" s="60"/>
    </row>
    <row r="12" spans="2:11" x14ac:dyDescent="0.25">
      <c r="B12" s="51" t="s">
        <v>105</v>
      </c>
      <c r="C12" s="33"/>
      <c r="D12" s="61">
        <f>D10</f>
        <v>1300</v>
      </c>
    </row>
    <row r="13" spans="2:11" x14ac:dyDescent="0.25">
      <c r="B13" s="62" t="s">
        <v>106</v>
      </c>
      <c r="C13" s="55"/>
      <c r="D13" s="63"/>
    </row>
    <row r="15" spans="2:11" x14ac:dyDescent="0.25">
      <c r="E15" s="64">
        <v>50</v>
      </c>
      <c r="F15" s="65">
        <v>20</v>
      </c>
      <c r="G15" s="66">
        <v>10</v>
      </c>
      <c r="H15" s="65">
        <v>5</v>
      </c>
      <c r="I15" s="93">
        <v>2</v>
      </c>
      <c r="J15" s="94" t="s">
        <v>106</v>
      </c>
      <c r="K15" s="68" t="s">
        <v>143</v>
      </c>
    </row>
    <row r="16" spans="2:11" x14ac:dyDescent="0.25">
      <c r="E16" s="68">
        <v>9</v>
      </c>
      <c r="F16" s="68">
        <v>29</v>
      </c>
      <c r="G16" s="68">
        <v>16</v>
      </c>
      <c r="H16" s="68">
        <v>22</v>
      </c>
      <c r="I16" s="68">
        <v>0</v>
      </c>
      <c r="J16" s="68">
        <v>0</v>
      </c>
      <c r="K16" s="69"/>
    </row>
    <row r="17" spans="5:11" x14ac:dyDescent="0.25">
      <c r="E17" s="70">
        <f>E15*E16</f>
        <v>450</v>
      </c>
      <c r="F17" s="71">
        <f t="shared" ref="F17:H17" si="0">F15*F16</f>
        <v>580</v>
      </c>
      <c r="G17" s="72">
        <f t="shared" si="0"/>
        <v>160</v>
      </c>
      <c r="H17" s="71">
        <f t="shared" si="0"/>
        <v>110</v>
      </c>
      <c r="I17" s="71">
        <f>I15*I16</f>
        <v>0</v>
      </c>
      <c r="J17" s="71">
        <v>0</v>
      </c>
      <c r="K17" s="95">
        <f>SUM(E17:J17)</f>
        <v>1300</v>
      </c>
    </row>
    <row r="19" spans="5:11" x14ac:dyDescent="0.25">
      <c r="E19" s="35" t="s">
        <v>35</v>
      </c>
      <c r="F19" s="73">
        <f>SUM(E17:H17)</f>
        <v>1300</v>
      </c>
    </row>
    <row r="20" spans="5:11" x14ac:dyDescent="0.25">
      <c r="E20" s="68" t="s">
        <v>144</v>
      </c>
      <c r="F20" s="73">
        <f>I17</f>
        <v>0</v>
      </c>
    </row>
    <row r="21" spans="5:11" x14ac:dyDescent="0.25">
      <c r="E21" s="68" t="s">
        <v>145</v>
      </c>
      <c r="F21" s="73">
        <f>J17</f>
        <v>0</v>
      </c>
    </row>
    <row r="22" spans="5:11" x14ac:dyDescent="0.25">
      <c r="F22" s="95">
        <f>SUM(F19:F21)</f>
        <v>1300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294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163</v>
      </c>
      <c r="C7" s="23"/>
      <c r="D7" s="22"/>
      <c r="E7" s="24"/>
      <c r="F7" s="22"/>
      <c r="G7" s="24"/>
      <c r="H7" s="25"/>
      <c r="I7" s="26"/>
      <c r="J7" s="41">
        <v>2669.75</v>
      </c>
      <c r="K7" s="28" t="s">
        <v>164</v>
      </c>
    </row>
    <row r="8" spans="2:11" x14ac:dyDescent="0.25">
      <c r="B8" s="22"/>
      <c r="C8" s="23"/>
      <c r="D8" s="22">
        <v>338</v>
      </c>
      <c r="E8" s="24"/>
      <c r="F8" s="22"/>
      <c r="G8" s="24" t="s">
        <v>85</v>
      </c>
      <c r="H8" s="25"/>
      <c r="I8" s="26">
        <v>230</v>
      </c>
      <c r="J8" s="41">
        <f>J7+H8-I8</f>
        <v>2439.75</v>
      </c>
      <c r="K8" s="28"/>
    </row>
    <row r="9" spans="2:11" x14ac:dyDescent="0.25">
      <c r="B9" s="22"/>
      <c r="C9" s="23"/>
      <c r="D9" s="22">
        <v>337</v>
      </c>
      <c r="E9" s="24"/>
      <c r="F9" s="22"/>
      <c r="G9" s="24"/>
      <c r="H9" s="25"/>
      <c r="I9" s="26">
        <v>300</v>
      </c>
      <c r="J9" s="41">
        <f t="shared" ref="J9:J11" si="0">J8+H9-I9</f>
        <v>2139.75</v>
      </c>
      <c r="K9" s="28"/>
    </row>
    <row r="10" spans="2:11" x14ac:dyDescent="0.25">
      <c r="B10" s="22"/>
      <c r="C10" s="23"/>
      <c r="D10" s="22"/>
      <c r="E10" s="24"/>
      <c r="F10" s="22"/>
      <c r="G10" s="24"/>
      <c r="H10" s="25"/>
      <c r="I10" s="26">
        <v>5.49</v>
      </c>
      <c r="J10" s="41">
        <f t="shared" si="0"/>
        <v>2134.2600000000002</v>
      </c>
      <c r="K10" s="28"/>
    </row>
    <row r="11" spans="2:11" x14ac:dyDescent="0.25">
      <c r="B11" s="22"/>
      <c r="C11" s="23"/>
      <c r="D11" s="22"/>
      <c r="E11" s="24"/>
      <c r="F11" s="22"/>
      <c r="G11" s="24"/>
      <c r="H11" s="25">
        <v>1300</v>
      </c>
      <c r="I11" s="26"/>
      <c r="J11" s="41">
        <f t="shared" si="0"/>
        <v>3434.26</v>
      </c>
      <c r="K11" s="28" t="s">
        <v>164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4"/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B15" s="29" t="s">
        <v>46</v>
      </c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H16" s="30"/>
      <c r="I16" s="30"/>
      <c r="J16" s="30"/>
    </row>
    <row r="17" spans="2:10" x14ac:dyDescent="0.25">
      <c r="B17" s="15" t="s">
        <v>47</v>
      </c>
    </row>
    <row r="18" spans="2:10" x14ac:dyDescent="0.25">
      <c r="B18" s="17" t="s">
        <v>157</v>
      </c>
      <c r="I18" s="43">
        <v>63.6</v>
      </c>
    </row>
    <row r="19" spans="2:10" x14ac:dyDescent="0.25">
      <c r="B19" s="17" t="s">
        <v>49</v>
      </c>
      <c r="I19" s="25">
        <v>225</v>
      </c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SUM(I18:I22)</f>
        <v>288.60000000000002</v>
      </c>
    </row>
    <row r="24" spans="2:10" x14ac:dyDescent="0.25">
      <c r="B24" s="15" t="s">
        <v>52</v>
      </c>
    </row>
    <row r="25" spans="2:10" x14ac:dyDescent="0.25">
      <c r="B25" s="24" t="s">
        <v>168</v>
      </c>
      <c r="C25" s="23"/>
      <c r="H25" s="32"/>
      <c r="I25" s="78">
        <v>1300</v>
      </c>
    </row>
    <row r="26" spans="2:10" x14ac:dyDescent="0.25">
      <c r="B26" s="33" t="s">
        <v>54</v>
      </c>
      <c r="C26" s="23"/>
      <c r="H26" s="32"/>
    </row>
    <row r="27" spans="2:10" x14ac:dyDescent="0.25">
      <c r="B27" s="34"/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 t="e">
        <f>#REF!-I23+I25</f>
        <v>#REF!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7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172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173</v>
      </c>
      <c r="C7" s="23"/>
      <c r="D7" s="22"/>
      <c r="E7" s="24"/>
      <c r="F7" s="22"/>
      <c r="G7" s="24"/>
      <c r="H7" s="25"/>
      <c r="I7" s="26"/>
      <c r="J7" s="41">
        <v>3434.26</v>
      </c>
      <c r="K7" s="28" t="s">
        <v>164</v>
      </c>
    </row>
    <row r="8" spans="2:11" x14ac:dyDescent="0.25">
      <c r="B8" s="22" t="s">
        <v>174</v>
      </c>
      <c r="C8" s="23"/>
      <c r="D8" s="22"/>
      <c r="E8" s="24"/>
      <c r="F8" s="22" t="s">
        <v>44</v>
      </c>
      <c r="G8" s="24"/>
      <c r="H8" s="40">
        <v>150</v>
      </c>
      <c r="I8" s="26"/>
      <c r="J8" s="41">
        <f>J7+H8-I8</f>
        <v>3584.26</v>
      </c>
      <c r="K8" s="28"/>
    </row>
    <row r="9" spans="2:11" x14ac:dyDescent="0.25">
      <c r="B9" s="22" t="s">
        <v>175</v>
      </c>
      <c r="C9" s="23"/>
      <c r="D9" s="22"/>
      <c r="E9" s="24"/>
      <c r="F9" s="22" t="str">
        <f>F8</f>
        <v>Cork City Council</v>
      </c>
      <c r="G9" s="24"/>
      <c r="H9" s="40">
        <v>300</v>
      </c>
      <c r="I9" s="26"/>
      <c r="J9" s="41">
        <f t="shared" ref="J9" si="0">J8+H9-I9</f>
        <v>3884.26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288.60000000000002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J9-I20+I22</f>
        <v>3595.6600000000003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zoomScale="130" zoomScaleNormal="130" zoomScaleSheetLayoutView="100" workbookViewId="0">
      <pane xSplit="2" ySplit="4" topLeftCell="C5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3" customWidth="1"/>
    <col min="2" max="2" width="18.5703125" style="3" customWidth="1"/>
    <col min="3" max="3" width="21" style="3" customWidth="1"/>
    <col min="4" max="4" width="26.28515625" style="3" customWidth="1"/>
    <col min="5" max="5" width="51.42578125" style="3" customWidth="1"/>
    <col min="6" max="6" width="11.140625" style="3" bestFit="1" customWidth="1"/>
    <col min="7" max="16384" width="9.140625" style="3"/>
  </cols>
  <sheetData>
    <row r="2" spans="2:6" x14ac:dyDescent="0.25">
      <c r="B2" s="2" t="s">
        <v>277</v>
      </c>
      <c r="D2" s="15" t="s">
        <v>272</v>
      </c>
    </row>
    <row r="3" spans="2:6" ht="15.75" thickBot="1" x14ac:dyDescent="0.3"/>
    <row r="4" spans="2:6" s="6" customFormat="1" ht="30.75" thickBot="1" x14ac:dyDescent="0.3">
      <c r="B4" s="4" t="s">
        <v>0</v>
      </c>
      <c r="C4" s="5" t="s">
        <v>1</v>
      </c>
      <c r="D4" s="5" t="s">
        <v>273</v>
      </c>
      <c r="E4" s="4" t="s">
        <v>22</v>
      </c>
    </row>
    <row r="5" spans="2:6" s="9" customFormat="1" ht="15.75" thickBot="1" x14ac:dyDescent="0.3">
      <c r="B5" s="7" t="s">
        <v>2</v>
      </c>
      <c r="C5" s="14" t="s">
        <v>3</v>
      </c>
      <c r="D5" s="14" t="s">
        <v>3</v>
      </c>
      <c r="E5" s="8"/>
    </row>
    <row r="6" spans="2:6" s="9" customFormat="1" ht="15.75" thickBot="1" x14ac:dyDescent="0.3">
      <c r="B6" s="10" t="s">
        <v>4</v>
      </c>
      <c r="C6" s="1">
        <v>1600</v>
      </c>
      <c r="D6" s="1">
        <f>'Lodge 15.10.18 '!D7+'Lodge 15.10.18 '!D9+'Lodge 15.10.18 '!D10+'Lodge 06.12.18 '!D4+'Lodge 06.12.18 '!D5+'Lodge 06.12.18 '!D5+'Lodge 21.03.19'!D4+'Lodgement 02.05.18'!I4+'Lodgement 02.05.18'!I9+'May 18'!J42</f>
        <v>2530</v>
      </c>
      <c r="E6" s="8"/>
    </row>
    <row r="7" spans="2:6" s="9" customFormat="1" ht="30.75" thickBot="1" x14ac:dyDescent="0.3">
      <c r="B7" s="10" t="s">
        <v>5</v>
      </c>
      <c r="C7" s="1">
        <v>300</v>
      </c>
      <c r="D7" s="1">
        <f>'Lodge 15.10.18 '!D6+'Lodgement 02.05.18'!I7+'Lodgement 02.05.18'!I8+'May 18'!J43</f>
        <v>363</v>
      </c>
      <c r="E7" s="8"/>
    </row>
    <row r="8" spans="2:6" s="9" customFormat="1" ht="15.75" thickBot="1" x14ac:dyDescent="0.3">
      <c r="B8" s="10" t="s">
        <v>6</v>
      </c>
      <c r="C8" s="1">
        <v>200</v>
      </c>
      <c r="D8" s="1">
        <f>'July 18'!H11+'Dec 18'!H8+'April  19'!H8+'April  19'!H9</f>
        <v>950</v>
      </c>
      <c r="E8" s="8" t="s">
        <v>265</v>
      </c>
    </row>
    <row r="9" spans="2:6" s="9" customFormat="1" ht="15.75" thickBot="1" x14ac:dyDescent="0.3">
      <c r="B9" s="10" t="s">
        <v>7</v>
      </c>
      <c r="C9" s="1">
        <v>100</v>
      </c>
      <c r="D9" s="1">
        <f>'Lodgement 02.05.18'!I5</f>
        <v>30</v>
      </c>
      <c r="E9" s="8"/>
    </row>
    <row r="10" spans="2:6" s="9" customFormat="1" ht="15.75" thickBot="1" x14ac:dyDescent="0.3">
      <c r="B10" s="10" t="s">
        <v>8</v>
      </c>
      <c r="C10" s="1">
        <v>1000</v>
      </c>
      <c r="D10" s="1">
        <f>'Oct 18'!H8+'June ''18'!H41+'June ''18'!H43+'June ''18'!H44+'May 18'!H39</f>
        <v>2902</v>
      </c>
      <c r="E10" s="8" t="s">
        <v>264</v>
      </c>
    </row>
    <row r="11" spans="2:6" s="9" customFormat="1" ht="15.75" thickBot="1" x14ac:dyDescent="0.3">
      <c r="B11" s="10" t="s">
        <v>9</v>
      </c>
      <c r="C11" s="1">
        <v>800</v>
      </c>
      <c r="D11" s="1">
        <f>'Lodge 15.10.18 '!D3+'Lodge 15.10.18 '!D5+'Lodge 06.12.18 '!D7+'Lodge 06.12.18 '!D8+'Lodge 21.03.19'!D7+'Lodgement 02.05.18'!I6</f>
        <v>1842</v>
      </c>
      <c r="E11" s="8" t="s">
        <v>146</v>
      </c>
    </row>
    <row r="12" spans="2:6" s="9" customFormat="1" ht="15.75" thickBot="1" x14ac:dyDescent="0.3">
      <c r="B12" s="10" t="s">
        <v>267</v>
      </c>
      <c r="C12" s="1"/>
      <c r="D12" s="1">
        <f>'Lodge 15.10.18 '!D4</f>
        <v>30</v>
      </c>
      <c r="E12" s="8" t="s">
        <v>266</v>
      </c>
    </row>
    <row r="13" spans="2:6" s="9" customFormat="1" ht="15.75" thickBot="1" x14ac:dyDescent="0.3">
      <c r="B13" s="10" t="s">
        <v>23</v>
      </c>
      <c r="C13" s="1"/>
      <c r="D13" s="1"/>
      <c r="E13" s="8"/>
    </row>
    <row r="14" spans="2:6" s="9" customFormat="1" ht="30.75" thickBot="1" x14ac:dyDescent="0.3">
      <c r="B14" s="129" t="s">
        <v>10</v>
      </c>
      <c r="C14" s="130">
        <f>SUM(C6:C13)</f>
        <v>4000</v>
      </c>
      <c r="D14" s="130">
        <f>SUM(D6:D13)</f>
        <v>8647</v>
      </c>
      <c r="E14" s="131" t="s">
        <v>274</v>
      </c>
      <c r="F14" s="96"/>
    </row>
    <row r="15" spans="2:6" s="9" customFormat="1" ht="15.75" thickBot="1" x14ac:dyDescent="0.3">
      <c r="B15" s="12"/>
      <c r="C15" s="1"/>
      <c r="D15" s="1"/>
      <c r="E15" s="8"/>
    </row>
    <row r="16" spans="2:6" s="9" customFormat="1" ht="30.75" thickBot="1" x14ac:dyDescent="0.3">
      <c r="B16" s="7" t="s">
        <v>11</v>
      </c>
      <c r="C16" s="1"/>
      <c r="D16" s="1"/>
      <c r="E16" s="8"/>
    </row>
    <row r="17" spans="2:5" s="9" customFormat="1" ht="15.75" thickBot="1" x14ac:dyDescent="0.3">
      <c r="B17" s="10" t="s">
        <v>12</v>
      </c>
      <c r="C17" s="1">
        <v>300</v>
      </c>
      <c r="D17" s="1">
        <f>'Aug 18'!I8</f>
        <v>348.12</v>
      </c>
      <c r="E17" s="8"/>
    </row>
    <row r="18" spans="2:5" s="9" customFormat="1" ht="15.75" thickBot="1" x14ac:dyDescent="0.3">
      <c r="B18" s="10" t="s">
        <v>13</v>
      </c>
      <c r="C18" s="1">
        <v>400</v>
      </c>
      <c r="D18" s="1">
        <f>'Oct 18'!I10+'Dec 18'!J15+'Feb 19'!I8</f>
        <v>736</v>
      </c>
      <c r="E18" s="8" t="s">
        <v>167</v>
      </c>
    </row>
    <row r="19" spans="2:5" s="9" customFormat="1" ht="15.75" thickBot="1" x14ac:dyDescent="0.3">
      <c r="B19" s="10" t="s">
        <v>14</v>
      </c>
      <c r="C19" s="1">
        <v>300</v>
      </c>
      <c r="D19" s="1"/>
      <c r="E19" s="8" t="s">
        <v>268</v>
      </c>
    </row>
    <row r="20" spans="2:5" s="9" customFormat="1" ht="30.75" thickBot="1" x14ac:dyDescent="0.3">
      <c r="B20" s="10" t="s">
        <v>15</v>
      </c>
      <c r="C20" s="1">
        <v>1200</v>
      </c>
      <c r="D20" s="1">
        <f>'July 18'!I8+'Dec 18'!J16+' Jan 19'!I8</f>
        <v>4154.97</v>
      </c>
      <c r="E20" s="8" t="s">
        <v>269</v>
      </c>
    </row>
    <row r="21" spans="2:5" s="9" customFormat="1" ht="30.75" thickBot="1" x14ac:dyDescent="0.3">
      <c r="B21" s="10" t="s">
        <v>16</v>
      </c>
      <c r="C21" s="1">
        <v>500</v>
      </c>
      <c r="D21" s="1">
        <f>'Sept 18'!I10+'Sept 18'!J15+'Sept 18'!I11+'Oct 18'!I9+' Jan 19'!I9+'March  19 estimated'!I13+'March  19 estimated'!I12</f>
        <v>1255</v>
      </c>
      <c r="E21" s="8" t="s">
        <v>121</v>
      </c>
    </row>
    <row r="22" spans="2:5" s="9" customFormat="1" ht="15.75" thickBot="1" x14ac:dyDescent="0.3">
      <c r="B22" s="10" t="s">
        <v>17</v>
      </c>
      <c r="C22" s="1">
        <v>300</v>
      </c>
      <c r="D22" s="1">
        <f>'Sept 18'!J14</f>
        <v>34</v>
      </c>
      <c r="E22" s="8"/>
    </row>
    <row r="23" spans="2:5" s="9" customFormat="1" ht="15.75" thickBot="1" x14ac:dyDescent="0.3">
      <c r="B23" s="10" t="s">
        <v>18</v>
      </c>
      <c r="C23" s="1">
        <v>80</v>
      </c>
      <c r="D23" s="1">
        <f>'July 18'!I9</f>
        <v>76.260000000000005</v>
      </c>
      <c r="E23" s="8"/>
    </row>
    <row r="24" spans="2:5" s="9" customFormat="1" ht="15.75" thickBot="1" x14ac:dyDescent="0.3">
      <c r="B24" s="12" t="s">
        <v>21</v>
      </c>
      <c r="C24" s="1">
        <v>20</v>
      </c>
      <c r="D24" s="1">
        <f>'Sept 18'!I8+'Dec 18'!I11+'June ''18'!I42</f>
        <v>18.850000000000001</v>
      </c>
      <c r="E24" s="8"/>
    </row>
    <row r="25" spans="2:5" s="9" customFormat="1" ht="15.75" thickBot="1" x14ac:dyDescent="0.3">
      <c r="B25" s="10" t="s">
        <v>8</v>
      </c>
      <c r="C25" s="1">
        <v>100</v>
      </c>
      <c r="D25" s="1"/>
      <c r="E25" s="8"/>
    </row>
    <row r="26" spans="2:5" s="9" customFormat="1" ht="15.75" thickBot="1" x14ac:dyDescent="0.3">
      <c r="B26" s="10" t="s">
        <v>19</v>
      </c>
      <c r="C26" s="1">
        <v>300</v>
      </c>
      <c r="D26" s="1"/>
      <c r="E26" s="8"/>
    </row>
    <row r="27" spans="2:5" s="9" customFormat="1" ht="15.75" thickBot="1" x14ac:dyDescent="0.3">
      <c r="B27" s="10" t="s">
        <v>23</v>
      </c>
      <c r="C27" s="1">
        <v>0</v>
      </c>
      <c r="D27" s="1"/>
      <c r="E27" s="8"/>
    </row>
    <row r="28" spans="2:5" s="9" customFormat="1" ht="15.75" thickBot="1" x14ac:dyDescent="0.3">
      <c r="B28" s="10" t="s">
        <v>56</v>
      </c>
      <c r="C28" s="1">
        <v>0</v>
      </c>
      <c r="D28" s="1">
        <f>'July 18'!I10</f>
        <v>138.97</v>
      </c>
      <c r="E28" s="8" t="s">
        <v>270</v>
      </c>
    </row>
    <row r="29" spans="2:5" s="9" customFormat="1" ht="15.75" thickBot="1" x14ac:dyDescent="0.3">
      <c r="B29" s="10"/>
      <c r="C29" s="1"/>
      <c r="D29" s="1"/>
      <c r="E29" s="8"/>
    </row>
    <row r="30" spans="2:5" s="9" customFormat="1" ht="15.75" thickBot="1" x14ac:dyDescent="0.3">
      <c r="B30" s="10"/>
      <c r="C30" s="1"/>
      <c r="D30" s="1"/>
      <c r="E30" s="8"/>
    </row>
    <row r="31" spans="2:5" s="9" customFormat="1" ht="60.75" thickBot="1" x14ac:dyDescent="0.3">
      <c r="B31" s="129" t="s">
        <v>10</v>
      </c>
      <c r="C31" s="130">
        <f>SUM(C17:C29)</f>
        <v>3500</v>
      </c>
      <c r="D31" s="130">
        <f>SUM(D17:D29)</f>
        <v>6762.170000000001</v>
      </c>
      <c r="E31" s="131" t="s">
        <v>275</v>
      </c>
    </row>
    <row r="32" spans="2:5" s="9" customFormat="1" ht="15.75" thickBot="1" x14ac:dyDescent="0.3">
      <c r="B32" s="7"/>
      <c r="C32" s="11"/>
      <c r="D32" s="11"/>
      <c r="E32" s="8"/>
    </row>
    <row r="33" spans="2:5" s="9" customFormat="1" ht="30.75" thickBot="1" x14ac:dyDescent="0.3">
      <c r="B33" s="129" t="s">
        <v>20</v>
      </c>
      <c r="C33" s="130">
        <f>C14-C31</f>
        <v>500</v>
      </c>
      <c r="D33" s="130">
        <f>D14-D31</f>
        <v>1884.829999999999</v>
      </c>
      <c r="E33" s="132" t="s">
        <v>276</v>
      </c>
    </row>
    <row r="34" spans="2:5" x14ac:dyDescent="0.25">
      <c r="B34" s="13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5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281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279</v>
      </c>
      <c r="C7" s="23"/>
      <c r="D7" s="22"/>
      <c r="E7" s="24"/>
      <c r="F7" s="22"/>
      <c r="G7" s="24"/>
      <c r="H7" s="25"/>
      <c r="I7" s="26"/>
      <c r="J7" s="41">
        <v>3884.26</v>
      </c>
      <c r="K7" s="28" t="s">
        <v>164</v>
      </c>
    </row>
    <row r="8" spans="2:11" x14ac:dyDescent="0.25">
      <c r="B8" s="22" t="s">
        <v>280</v>
      </c>
      <c r="C8" s="23"/>
      <c r="D8" s="22"/>
      <c r="E8" s="24"/>
      <c r="F8" s="22"/>
      <c r="G8" s="24"/>
      <c r="H8" s="40">
        <v>280</v>
      </c>
      <c r="I8" s="26"/>
      <c r="J8" s="41">
        <f>J7+H8-I8</f>
        <v>4164.26</v>
      </c>
      <c r="K8" s="28" t="s">
        <v>164</v>
      </c>
    </row>
    <row r="9" spans="2:11" x14ac:dyDescent="0.25">
      <c r="B9" s="24"/>
      <c r="C9" s="23"/>
      <c r="D9" s="24"/>
      <c r="E9" s="24"/>
      <c r="F9" s="24"/>
      <c r="G9" s="24"/>
      <c r="H9" s="26"/>
      <c r="I9" s="26"/>
      <c r="J9" s="26"/>
      <c r="K9" s="24"/>
    </row>
    <row r="10" spans="2:11" x14ac:dyDescent="0.25">
      <c r="B10" s="29" t="s">
        <v>46</v>
      </c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H11" s="30"/>
      <c r="I11" s="30"/>
      <c r="J11" s="30"/>
    </row>
    <row r="12" spans="2:11" x14ac:dyDescent="0.25">
      <c r="B12" s="15" t="s">
        <v>47</v>
      </c>
    </row>
    <row r="13" spans="2:11" x14ac:dyDescent="0.25">
      <c r="B13" s="17" t="s">
        <v>157</v>
      </c>
      <c r="I13" s="43">
        <v>63.6</v>
      </c>
    </row>
    <row r="14" spans="2:11" x14ac:dyDescent="0.25">
      <c r="B14" s="17" t="s">
        <v>49</v>
      </c>
      <c r="I14" s="25">
        <v>225</v>
      </c>
    </row>
    <row r="15" spans="2:11" x14ac:dyDescent="0.25">
      <c r="B15" s="15" t="s">
        <v>50</v>
      </c>
      <c r="I15" s="25"/>
    </row>
    <row r="16" spans="2:11" x14ac:dyDescent="0.25">
      <c r="I16" s="25"/>
    </row>
    <row r="17" spans="2:10" x14ac:dyDescent="0.25">
      <c r="I17" s="44"/>
    </row>
    <row r="18" spans="2:10" x14ac:dyDescent="0.25">
      <c r="I18" s="45">
        <f>SUM(I13:I17)</f>
        <v>288.60000000000002</v>
      </c>
    </row>
    <row r="19" spans="2:10" x14ac:dyDescent="0.25">
      <c r="B19" s="15" t="s">
        <v>52</v>
      </c>
    </row>
    <row r="20" spans="2:10" x14ac:dyDescent="0.25">
      <c r="B20" s="24"/>
      <c r="C20" s="23"/>
      <c r="H20" s="32"/>
      <c r="I20" s="78"/>
    </row>
    <row r="21" spans="2:10" x14ac:dyDescent="0.25">
      <c r="B21" s="33" t="s">
        <v>54</v>
      </c>
      <c r="C21" s="23"/>
      <c r="H21" s="32"/>
    </row>
    <row r="22" spans="2:10" x14ac:dyDescent="0.25">
      <c r="B22" s="33"/>
      <c r="C22" s="23"/>
      <c r="H22" s="32"/>
    </row>
    <row r="23" spans="2:10" x14ac:dyDescent="0.25">
      <c r="B23" s="35" t="s">
        <v>55</v>
      </c>
      <c r="C23" s="36"/>
      <c r="D23" s="37"/>
      <c r="E23" s="37"/>
      <c r="F23" s="37"/>
      <c r="G23" s="37"/>
      <c r="H23" s="37"/>
      <c r="I23" s="37"/>
      <c r="J23" s="38">
        <f>J8-I18</f>
        <v>3875.6600000000003</v>
      </c>
    </row>
    <row r="25" spans="2:10" x14ac:dyDescent="0.25">
      <c r="I25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L16"/>
  <sheetViews>
    <sheetView zoomScale="130" zoomScaleNormal="130" workbookViewId="0"/>
  </sheetViews>
  <sheetFormatPr defaultRowHeight="15" x14ac:dyDescent="0.25"/>
  <cols>
    <col min="1" max="1" width="3.28515625" customWidth="1"/>
    <col min="9" max="9" width="11.140625" bestFit="1" customWidth="1"/>
    <col min="12" max="12" width="11.5703125" bestFit="1" customWidth="1"/>
  </cols>
  <sheetData>
    <row r="2" spans="2:12" x14ac:dyDescent="0.25">
      <c r="B2" s="114" t="s">
        <v>251</v>
      </c>
    </row>
    <row r="3" spans="2:12" x14ac:dyDescent="0.25">
      <c r="L3" t="s">
        <v>252</v>
      </c>
    </row>
    <row r="4" spans="2:12" x14ac:dyDescent="0.25">
      <c r="B4" t="s">
        <v>253</v>
      </c>
      <c r="I4" s="87">
        <v>60</v>
      </c>
      <c r="L4">
        <f>I4</f>
        <v>60</v>
      </c>
    </row>
    <row r="5" spans="2:12" x14ac:dyDescent="0.25">
      <c r="B5" t="s">
        <v>254</v>
      </c>
      <c r="I5" s="87">
        <v>30</v>
      </c>
      <c r="L5">
        <v>30</v>
      </c>
    </row>
    <row r="6" spans="2:12" x14ac:dyDescent="0.25">
      <c r="B6" t="s">
        <v>255</v>
      </c>
      <c r="I6" s="87">
        <v>40</v>
      </c>
      <c r="L6">
        <v>40</v>
      </c>
    </row>
    <row r="7" spans="2:12" x14ac:dyDescent="0.25">
      <c r="B7" t="s">
        <v>256</v>
      </c>
      <c r="I7" s="87">
        <v>35</v>
      </c>
      <c r="L7">
        <v>35</v>
      </c>
    </row>
    <row r="8" spans="2:12" x14ac:dyDescent="0.25">
      <c r="B8" t="s">
        <v>256</v>
      </c>
      <c r="I8" s="87">
        <f>10+15</f>
        <v>25</v>
      </c>
      <c r="L8">
        <f>I8</f>
        <v>25</v>
      </c>
    </row>
    <row r="9" spans="2:12" x14ac:dyDescent="0.25">
      <c r="B9" t="s">
        <v>257</v>
      </c>
      <c r="I9" s="87">
        <v>100</v>
      </c>
      <c r="L9">
        <f>I9</f>
        <v>100</v>
      </c>
    </row>
    <row r="10" spans="2:12" x14ac:dyDescent="0.25">
      <c r="B10" s="115" t="s">
        <v>10</v>
      </c>
      <c r="C10" s="115"/>
      <c r="D10" s="115"/>
      <c r="E10" s="115"/>
      <c r="F10" s="115"/>
      <c r="G10" s="115"/>
      <c r="H10" s="115"/>
      <c r="I10" s="116">
        <f>SUM(I4:I9)</f>
        <v>290</v>
      </c>
      <c r="L10" s="117">
        <f>SUM(L4:L9)</f>
        <v>290</v>
      </c>
    </row>
    <row r="11" spans="2:12" ht="15.75" thickBot="1" x14ac:dyDescent="0.3"/>
    <row r="12" spans="2:12" ht="15.75" thickBot="1" x14ac:dyDescent="0.3">
      <c r="B12" s="118" t="s">
        <v>258</v>
      </c>
      <c r="C12" s="119"/>
      <c r="D12" s="119"/>
      <c r="E12" s="119"/>
      <c r="F12" s="119"/>
      <c r="G12" s="119"/>
      <c r="H12" s="119"/>
      <c r="I12" s="120">
        <f>I10</f>
        <v>290</v>
      </c>
    </row>
    <row r="13" spans="2:12" x14ac:dyDescent="0.25">
      <c r="B13" s="79" t="s">
        <v>259</v>
      </c>
      <c r="C13" s="81"/>
      <c r="D13" s="81"/>
      <c r="E13" s="81"/>
      <c r="F13" s="81"/>
      <c r="G13" s="81"/>
      <c r="H13" s="81"/>
      <c r="I13" s="81"/>
    </row>
    <row r="14" spans="2:12" x14ac:dyDescent="0.25">
      <c r="C14" s="121" t="s">
        <v>260</v>
      </c>
      <c r="D14" s="121" t="s">
        <v>261</v>
      </c>
      <c r="E14" s="121" t="s">
        <v>262</v>
      </c>
      <c r="F14" s="121" t="s">
        <v>263</v>
      </c>
    </row>
    <row r="15" spans="2:12" x14ac:dyDescent="0.25">
      <c r="C15" s="122">
        <v>12</v>
      </c>
      <c r="D15" s="122">
        <v>4</v>
      </c>
      <c r="E15" s="122">
        <v>7</v>
      </c>
      <c r="F15" s="122">
        <v>1</v>
      </c>
    </row>
    <row r="16" spans="2:12" x14ac:dyDescent="0.25">
      <c r="C16" s="123">
        <f>C15*5</f>
        <v>60</v>
      </c>
      <c r="D16" s="123">
        <f>D15*10</f>
        <v>40</v>
      </c>
      <c r="E16" s="123">
        <f>E15*20</f>
        <v>140</v>
      </c>
      <c r="F16" s="123">
        <f>F15*50</f>
        <v>50</v>
      </c>
      <c r="G16" s="123">
        <f>SUM(C16:F16)</f>
        <v>290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282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283</v>
      </c>
      <c r="C7" s="23"/>
      <c r="D7" s="22"/>
      <c r="E7" s="24"/>
      <c r="F7" s="22"/>
      <c r="G7" s="24"/>
      <c r="H7" s="25"/>
      <c r="I7" s="26"/>
      <c r="J7" s="41">
        <v>4164.26</v>
      </c>
      <c r="K7" s="28" t="s">
        <v>164</v>
      </c>
    </row>
    <row r="8" spans="2:11" x14ac:dyDescent="0.25">
      <c r="B8" s="22" t="s">
        <v>284</v>
      </c>
      <c r="C8" s="23"/>
      <c r="D8" s="22"/>
      <c r="E8" s="24"/>
      <c r="F8" s="22"/>
      <c r="G8" s="24" t="s">
        <v>292</v>
      </c>
      <c r="H8" s="25">
        <v>752</v>
      </c>
      <c r="I8" s="26"/>
      <c r="J8" s="41">
        <f>J7+H8-I8</f>
        <v>4916.26</v>
      </c>
      <c r="K8" s="28"/>
    </row>
    <row r="9" spans="2:11" x14ac:dyDescent="0.25">
      <c r="B9" s="22" t="s">
        <v>285</v>
      </c>
      <c r="C9" s="23"/>
      <c r="D9" s="22"/>
      <c r="E9" s="24"/>
      <c r="F9" s="22"/>
      <c r="G9" s="24" t="s">
        <v>290</v>
      </c>
      <c r="H9" s="25">
        <v>200</v>
      </c>
      <c r="I9" s="26"/>
      <c r="J9" s="41">
        <f t="shared" ref="J9:J13" si="0">J8+H9-I9</f>
        <v>5116.26</v>
      </c>
      <c r="K9" s="28"/>
    </row>
    <row r="10" spans="2:11" x14ac:dyDescent="0.25">
      <c r="B10" s="22" t="s">
        <v>286</v>
      </c>
      <c r="C10" s="23"/>
      <c r="D10" s="22"/>
      <c r="E10" s="24"/>
      <c r="F10" s="22"/>
      <c r="G10" s="24" t="s">
        <v>293</v>
      </c>
      <c r="H10" s="25">
        <v>560</v>
      </c>
      <c r="I10" s="26"/>
      <c r="J10" s="41">
        <f t="shared" si="0"/>
        <v>5676.26</v>
      </c>
      <c r="K10" s="28"/>
    </row>
    <row r="11" spans="2:11" x14ac:dyDescent="0.25">
      <c r="B11" s="22" t="s">
        <v>287</v>
      </c>
      <c r="C11" s="23"/>
      <c r="D11" s="22">
        <v>339</v>
      </c>
      <c r="E11" s="24"/>
      <c r="F11" s="22"/>
      <c r="G11" s="24" t="s">
        <v>291</v>
      </c>
      <c r="H11" s="25"/>
      <c r="I11" s="26">
        <v>136.12</v>
      </c>
      <c r="J11" s="41">
        <f t="shared" si="0"/>
        <v>5540.14</v>
      </c>
      <c r="K11" s="28"/>
    </row>
    <row r="12" spans="2:11" x14ac:dyDescent="0.25">
      <c r="B12" s="22" t="s">
        <v>288</v>
      </c>
      <c r="C12" s="23"/>
      <c r="D12" s="22">
        <v>341</v>
      </c>
      <c r="E12" s="24"/>
      <c r="F12" s="22"/>
      <c r="G12" s="24" t="s">
        <v>75</v>
      </c>
      <c r="H12" s="25"/>
      <c r="I12" s="26">
        <v>150</v>
      </c>
      <c r="J12" s="41">
        <f t="shared" si="0"/>
        <v>5390.14</v>
      </c>
      <c r="K12" s="28"/>
    </row>
    <row r="13" spans="2:11" x14ac:dyDescent="0.25">
      <c r="B13" s="22" t="s">
        <v>289</v>
      </c>
      <c r="C13" s="23"/>
      <c r="D13" s="22"/>
      <c r="E13" s="24"/>
      <c r="F13" s="22"/>
      <c r="G13" s="24" t="s">
        <v>293</v>
      </c>
      <c r="H13" s="25">
        <v>240</v>
      </c>
      <c r="I13" s="26"/>
      <c r="J13" s="41">
        <f t="shared" si="0"/>
        <v>5630.14</v>
      </c>
      <c r="K13" s="28" t="s">
        <v>164</v>
      </c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4916.26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306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295</v>
      </c>
      <c r="C7" s="23"/>
      <c r="D7" s="22"/>
      <c r="E7" s="24"/>
      <c r="F7" s="22"/>
      <c r="G7" s="24"/>
      <c r="H7" s="25"/>
      <c r="I7" s="26"/>
      <c r="J7" s="41">
        <v>5630.14</v>
      </c>
      <c r="K7" s="28" t="s">
        <v>164</v>
      </c>
    </row>
    <row r="8" spans="2:11" x14ac:dyDescent="0.25">
      <c r="B8" s="22" t="s">
        <v>296</v>
      </c>
      <c r="C8" s="23"/>
      <c r="D8" s="22"/>
      <c r="E8" s="24"/>
      <c r="F8" s="22"/>
      <c r="G8" s="24" t="s">
        <v>302</v>
      </c>
      <c r="H8" s="25">
        <v>150</v>
      </c>
      <c r="I8" s="26"/>
      <c r="J8" s="41">
        <f>J7+H8-I8</f>
        <v>5780.14</v>
      </c>
      <c r="K8" s="28"/>
    </row>
    <row r="9" spans="2:11" x14ac:dyDescent="0.25">
      <c r="B9" s="22" t="s">
        <v>297</v>
      </c>
      <c r="C9" s="23"/>
      <c r="D9" s="22"/>
      <c r="E9" s="24"/>
      <c r="F9" s="22"/>
      <c r="G9" s="24" t="s">
        <v>304</v>
      </c>
      <c r="H9" s="25">
        <v>160</v>
      </c>
      <c r="I9" s="26"/>
      <c r="J9" s="41">
        <f t="shared" ref="J9:J13" si="0">J8+H9-I9</f>
        <v>5940.14</v>
      </c>
      <c r="K9" s="28"/>
    </row>
    <row r="10" spans="2:11" x14ac:dyDescent="0.25">
      <c r="B10" s="22" t="s">
        <v>298</v>
      </c>
      <c r="C10" s="23"/>
      <c r="D10" s="22">
        <v>340</v>
      </c>
      <c r="E10" s="24" t="s">
        <v>303</v>
      </c>
      <c r="F10" s="22"/>
      <c r="G10" s="24"/>
      <c r="H10" s="25"/>
      <c r="I10" s="26">
        <v>76.260000000000005</v>
      </c>
      <c r="J10" s="41">
        <f t="shared" si="0"/>
        <v>5863.88</v>
      </c>
      <c r="K10" s="28"/>
    </row>
    <row r="11" spans="2:11" x14ac:dyDescent="0.25">
      <c r="B11" s="22" t="s">
        <v>299</v>
      </c>
      <c r="C11" s="23"/>
      <c r="D11" s="22"/>
      <c r="E11" s="24"/>
      <c r="F11" s="22"/>
      <c r="G11" s="24" t="s">
        <v>305</v>
      </c>
      <c r="H11" s="25">
        <v>182.12</v>
      </c>
      <c r="I11" s="26"/>
      <c r="J11" s="41">
        <f t="shared" si="0"/>
        <v>6046</v>
      </c>
      <c r="K11" s="28"/>
    </row>
    <row r="12" spans="2:11" x14ac:dyDescent="0.25">
      <c r="B12" s="22" t="s">
        <v>300</v>
      </c>
      <c r="C12" s="23"/>
      <c r="D12" s="22"/>
      <c r="E12" s="24"/>
      <c r="F12" s="22"/>
      <c r="G12" s="24" t="s">
        <v>301</v>
      </c>
      <c r="H12" s="25"/>
      <c r="I12" s="26">
        <v>5.43</v>
      </c>
      <c r="J12" s="41">
        <f t="shared" si="0"/>
        <v>6040.57</v>
      </c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>
        <f t="shared" si="0"/>
        <v>6040.57</v>
      </c>
      <c r="K13" s="28" t="s">
        <v>164</v>
      </c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5780.14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307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308</v>
      </c>
      <c r="C7" s="23"/>
      <c r="D7" s="22"/>
      <c r="E7" s="24"/>
      <c r="F7" s="22"/>
      <c r="G7" s="24"/>
      <c r="H7" s="25"/>
      <c r="I7" s="26"/>
      <c r="J7" s="41">
        <v>6040.57</v>
      </c>
      <c r="K7" s="28" t="s">
        <v>164</v>
      </c>
    </row>
    <row r="8" spans="2:11" x14ac:dyDescent="0.25">
      <c r="B8" s="22" t="s">
        <v>309</v>
      </c>
      <c r="C8" s="23"/>
      <c r="D8" s="22">
        <v>342</v>
      </c>
      <c r="E8" s="24" t="s">
        <v>111</v>
      </c>
      <c r="F8" s="22"/>
      <c r="G8" s="24" t="s">
        <v>315</v>
      </c>
      <c r="H8" s="25"/>
      <c r="I8" s="26">
        <v>90</v>
      </c>
      <c r="J8" s="41">
        <f>J7+H8-I8</f>
        <v>5950.57</v>
      </c>
      <c r="K8" s="28"/>
    </row>
    <row r="9" spans="2:11" x14ac:dyDescent="0.25">
      <c r="B9" s="22" t="s">
        <v>310</v>
      </c>
      <c r="C9" s="23"/>
      <c r="D9" s="22"/>
      <c r="E9" s="24"/>
      <c r="F9" s="22"/>
      <c r="G9" s="24" t="s">
        <v>312</v>
      </c>
      <c r="H9" s="25">
        <v>180</v>
      </c>
      <c r="I9" s="26"/>
      <c r="J9" s="41">
        <f t="shared" ref="J9:J10" si="0">J8+H9-I9</f>
        <v>6130.57</v>
      </c>
      <c r="K9" s="28"/>
    </row>
    <row r="10" spans="2:11" x14ac:dyDescent="0.25">
      <c r="B10" s="22" t="s">
        <v>311</v>
      </c>
      <c r="C10" s="23"/>
      <c r="D10" s="22">
        <v>343</v>
      </c>
      <c r="E10" s="24" t="s">
        <v>313</v>
      </c>
      <c r="F10" s="22"/>
      <c r="G10" s="24" t="s">
        <v>314</v>
      </c>
      <c r="H10" s="25"/>
      <c r="I10" s="26">
        <v>348.12</v>
      </c>
      <c r="J10" s="41">
        <f t="shared" si="0"/>
        <v>5782.45</v>
      </c>
      <c r="K10" s="28" t="s">
        <v>164</v>
      </c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5950.57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316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317</v>
      </c>
      <c r="C7" s="23"/>
      <c r="D7" s="22"/>
      <c r="E7" s="24"/>
      <c r="F7" s="22"/>
      <c r="G7" s="24"/>
      <c r="H7" s="25"/>
      <c r="I7" s="26"/>
      <c r="J7" s="41">
        <v>5782.45</v>
      </c>
      <c r="K7" s="28" t="s">
        <v>164</v>
      </c>
    </row>
    <row r="8" spans="2:11" x14ac:dyDescent="0.25">
      <c r="B8" s="22" t="s">
        <v>319</v>
      </c>
      <c r="C8" s="23"/>
      <c r="D8" s="22">
        <v>344</v>
      </c>
      <c r="E8" s="24" t="s">
        <v>320</v>
      </c>
      <c r="F8" s="22"/>
      <c r="G8" s="24" t="s">
        <v>321</v>
      </c>
      <c r="H8" s="25"/>
      <c r="I8" s="26">
        <v>500</v>
      </c>
      <c r="J8" s="41">
        <f>J7+H8-I8</f>
        <v>5282.45</v>
      </c>
      <c r="K8" s="28"/>
    </row>
    <row r="9" spans="2:11" x14ac:dyDescent="0.25">
      <c r="B9" s="22" t="s">
        <v>318</v>
      </c>
      <c r="C9" s="23"/>
      <c r="D9" s="22">
        <v>345</v>
      </c>
      <c r="E9" s="24" t="s">
        <v>154</v>
      </c>
      <c r="F9" s="22"/>
      <c r="G9" s="24" t="s">
        <v>322</v>
      </c>
      <c r="H9" s="25"/>
      <c r="I9" s="26">
        <v>50</v>
      </c>
      <c r="J9" s="41">
        <f t="shared" ref="J9" si="0">J8+H9-I9</f>
        <v>5232.45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5282.45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329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323</v>
      </c>
      <c r="C7" s="23"/>
      <c r="D7" s="22"/>
      <c r="E7" s="24"/>
      <c r="F7" s="22"/>
      <c r="G7" s="24"/>
      <c r="H7" s="25"/>
      <c r="I7" s="26"/>
      <c r="J7" s="41">
        <v>5232.45</v>
      </c>
      <c r="K7" s="28" t="s">
        <v>164</v>
      </c>
    </row>
    <row r="8" spans="2:11" x14ac:dyDescent="0.25">
      <c r="B8" s="22" t="s">
        <v>324</v>
      </c>
      <c r="C8" s="23"/>
      <c r="D8" s="22"/>
      <c r="E8" s="24"/>
      <c r="F8" s="22"/>
      <c r="G8" s="24" t="s">
        <v>327</v>
      </c>
      <c r="H8" s="25">
        <v>738</v>
      </c>
      <c r="I8" s="26"/>
      <c r="J8" s="41">
        <f>J7+H8-I8</f>
        <v>5970.45</v>
      </c>
      <c r="K8" s="28"/>
    </row>
    <row r="9" spans="2:11" x14ac:dyDescent="0.25">
      <c r="B9" s="22" t="s">
        <v>325</v>
      </c>
      <c r="C9" s="23"/>
      <c r="D9" s="22"/>
      <c r="E9" s="24" t="s">
        <v>111</v>
      </c>
      <c r="F9" s="22"/>
      <c r="G9" s="24" t="s">
        <v>328</v>
      </c>
      <c r="H9" s="25"/>
      <c r="I9" s="26">
        <v>60</v>
      </c>
      <c r="J9" s="41">
        <f t="shared" ref="J9:J10" si="0">J8+H9-I9</f>
        <v>5910.45</v>
      </c>
      <c r="K9" s="28"/>
    </row>
    <row r="10" spans="2:11" x14ac:dyDescent="0.25">
      <c r="B10" s="22" t="s">
        <v>326</v>
      </c>
      <c r="C10" s="23"/>
      <c r="D10" s="22"/>
      <c r="E10" s="24"/>
      <c r="F10" s="22"/>
      <c r="G10" s="24" t="s">
        <v>134</v>
      </c>
      <c r="H10" s="25"/>
      <c r="I10" s="26">
        <v>7.81</v>
      </c>
      <c r="J10" s="41">
        <f t="shared" si="0"/>
        <v>5902.6399999999994</v>
      </c>
      <c r="K10" s="28" t="s">
        <v>164</v>
      </c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5970.45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343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335</v>
      </c>
      <c r="C7" s="23"/>
      <c r="D7" s="22"/>
      <c r="E7" s="24"/>
      <c r="F7" s="22"/>
      <c r="G7" s="24"/>
      <c r="H7" s="25"/>
      <c r="I7" s="26"/>
      <c r="J7" s="41">
        <v>5902.64</v>
      </c>
      <c r="K7" s="28" t="s">
        <v>164</v>
      </c>
    </row>
    <row r="8" spans="2:11" x14ac:dyDescent="0.25">
      <c r="B8" s="22" t="s">
        <v>336</v>
      </c>
      <c r="C8" s="23"/>
      <c r="D8" s="22"/>
      <c r="E8" s="24"/>
      <c r="F8" s="22"/>
      <c r="G8" s="24" t="s">
        <v>344</v>
      </c>
      <c r="H8" s="25">
        <v>1285</v>
      </c>
      <c r="I8" s="26"/>
      <c r="J8" s="41">
        <f>J7+H8-I8</f>
        <v>7187.64</v>
      </c>
      <c r="K8" s="28"/>
    </row>
    <row r="9" spans="2:11" x14ac:dyDescent="0.25">
      <c r="B9" s="22" t="s">
        <v>337</v>
      </c>
      <c r="C9" s="23"/>
      <c r="D9" s="22"/>
      <c r="E9" s="24"/>
      <c r="F9" s="22"/>
      <c r="G9" s="24" t="s">
        <v>345</v>
      </c>
      <c r="H9" s="25">
        <v>700</v>
      </c>
      <c r="I9" s="26"/>
      <c r="J9" s="41">
        <f t="shared" ref="J9:J11" si="0">J8+H9-I9</f>
        <v>7887.64</v>
      </c>
      <c r="K9" s="28"/>
    </row>
    <row r="10" spans="2:11" x14ac:dyDescent="0.25">
      <c r="B10" s="22" t="s">
        <v>338</v>
      </c>
      <c r="C10" s="23"/>
      <c r="D10" s="22">
        <v>349</v>
      </c>
      <c r="E10" s="24" t="s">
        <v>341</v>
      </c>
      <c r="F10" s="22"/>
      <c r="G10" s="24" t="s">
        <v>342</v>
      </c>
      <c r="H10" s="25"/>
      <c r="I10" s="26">
        <v>243.83</v>
      </c>
      <c r="J10" s="41">
        <f t="shared" si="0"/>
        <v>7643.81</v>
      </c>
      <c r="K10" s="28" t="s">
        <v>164</v>
      </c>
    </row>
    <row r="11" spans="2:11" x14ac:dyDescent="0.25">
      <c r="B11" s="22" t="s">
        <v>339</v>
      </c>
      <c r="C11" s="23"/>
      <c r="D11" s="22">
        <v>347</v>
      </c>
      <c r="E11" s="24"/>
      <c r="F11" s="22"/>
      <c r="G11" s="24" t="s">
        <v>340</v>
      </c>
      <c r="H11" s="25"/>
      <c r="I11" s="26">
        <v>1051.6500000000001</v>
      </c>
      <c r="J11" s="41">
        <f t="shared" si="0"/>
        <v>6592.16</v>
      </c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7187.64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346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330</v>
      </c>
      <c r="C7" s="23"/>
      <c r="D7" s="22"/>
      <c r="E7" s="24"/>
      <c r="F7" s="22"/>
      <c r="G7" s="24"/>
      <c r="H7" s="25"/>
      <c r="I7" s="26"/>
      <c r="J7" s="41">
        <v>6592.16</v>
      </c>
      <c r="K7" s="28" t="s">
        <v>164</v>
      </c>
    </row>
    <row r="8" spans="2:11" x14ac:dyDescent="0.25">
      <c r="B8" s="22" t="s">
        <v>331</v>
      </c>
      <c r="C8" s="23"/>
      <c r="D8" s="22"/>
      <c r="E8" s="24"/>
      <c r="F8" s="22"/>
      <c r="G8" s="24" t="s">
        <v>347</v>
      </c>
      <c r="H8" s="25">
        <v>245</v>
      </c>
      <c r="I8" s="26"/>
      <c r="J8" s="41">
        <f>J7+H8-I8</f>
        <v>6837.16</v>
      </c>
      <c r="K8" s="28"/>
    </row>
    <row r="9" spans="2:11" x14ac:dyDescent="0.25">
      <c r="B9" s="22" t="s">
        <v>332</v>
      </c>
      <c r="C9" s="23"/>
      <c r="D9" s="22"/>
      <c r="E9" s="24"/>
      <c r="F9" s="22"/>
      <c r="G9" s="24" t="s">
        <v>186</v>
      </c>
      <c r="H9" s="25">
        <v>485</v>
      </c>
      <c r="I9" s="26"/>
      <c r="J9" s="41">
        <f t="shared" ref="J9:J11" si="0">J8+H9-I9</f>
        <v>7322.16</v>
      </c>
      <c r="K9" s="28"/>
    </row>
    <row r="10" spans="2:11" x14ac:dyDescent="0.25">
      <c r="B10" s="22" t="s">
        <v>333</v>
      </c>
      <c r="C10" s="23"/>
      <c r="D10" s="22">
        <v>350</v>
      </c>
      <c r="E10" s="24" t="s">
        <v>154</v>
      </c>
      <c r="F10" s="22"/>
      <c r="G10" s="24" t="s">
        <v>348</v>
      </c>
      <c r="H10" s="25"/>
      <c r="I10" s="26">
        <v>985</v>
      </c>
      <c r="J10" s="41">
        <f t="shared" si="0"/>
        <v>6337.16</v>
      </c>
      <c r="K10" s="28" t="s">
        <v>164</v>
      </c>
    </row>
    <row r="11" spans="2:11" x14ac:dyDescent="0.25">
      <c r="B11" s="22" t="s">
        <v>334</v>
      </c>
      <c r="C11" s="23"/>
      <c r="D11" s="22"/>
      <c r="E11" s="24"/>
      <c r="F11" s="22"/>
      <c r="G11" s="24" t="s">
        <v>349</v>
      </c>
      <c r="H11" s="25"/>
      <c r="I11" s="26">
        <v>20</v>
      </c>
      <c r="J11" s="41">
        <f t="shared" si="0"/>
        <v>6317.16</v>
      </c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6837.16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12" sqref="B12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350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351</v>
      </c>
      <c r="C7" s="23"/>
      <c r="D7" s="22"/>
      <c r="E7" s="24"/>
      <c r="F7" s="22"/>
      <c r="G7" s="24"/>
      <c r="H7" s="25"/>
      <c r="I7" s="26"/>
      <c r="J7" s="41">
        <v>6317.16</v>
      </c>
      <c r="K7" s="28" t="s">
        <v>164</v>
      </c>
    </row>
    <row r="8" spans="2:11" x14ac:dyDescent="0.25">
      <c r="B8" s="22" t="s">
        <v>352</v>
      </c>
      <c r="C8" s="23"/>
      <c r="D8" s="22">
        <v>351</v>
      </c>
      <c r="E8" s="24" t="s">
        <v>111</v>
      </c>
      <c r="F8" s="22"/>
      <c r="G8" s="24" t="s">
        <v>356</v>
      </c>
      <c r="H8" s="25"/>
      <c r="I8" s="26">
        <v>504.99</v>
      </c>
      <c r="J8" s="41">
        <f>J7+H8-I8</f>
        <v>5812.17</v>
      </c>
      <c r="K8" s="28"/>
    </row>
    <row r="9" spans="2:11" x14ac:dyDescent="0.25">
      <c r="B9" s="22" t="s">
        <v>353</v>
      </c>
      <c r="C9" s="23"/>
      <c r="D9" s="22"/>
      <c r="E9" s="24" t="s">
        <v>154</v>
      </c>
      <c r="F9" s="22"/>
      <c r="G9" s="24" t="s">
        <v>357</v>
      </c>
      <c r="H9" s="25"/>
      <c r="I9" s="26">
        <v>171</v>
      </c>
      <c r="J9" s="41">
        <f t="shared" ref="J9:J12" si="0">J8+H9-I9</f>
        <v>5641.17</v>
      </c>
      <c r="K9" s="28"/>
    </row>
    <row r="10" spans="2:11" x14ac:dyDescent="0.25">
      <c r="B10" s="22" t="s">
        <v>353</v>
      </c>
      <c r="C10" s="23"/>
      <c r="D10" s="22"/>
      <c r="E10" s="24"/>
      <c r="F10" s="22"/>
      <c r="G10" s="24" t="s">
        <v>358</v>
      </c>
      <c r="H10" s="25"/>
      <c r="I10" s="26">
        <v>6.07</v>
      </c>
      <c r="J10" s="41">
        <f t="shared" si="0"/>
        <v>5635.1</v>
      </c>
      <c r="K10" s="28"/>
    </row>
    <row r="11" spans="2:11" x14ac:dyDescent="0.25">
      <c r="B11" s="22" t="s">
        <v>354</v>
      </c>
      <c r="C11" s="23"/>
      <c r="D11" s="22"/>
      <c r="E11" s="24"/>
      <c r="F11" s="22"/>
      <c r="G11" s="24" t="s">
        <v>359</v>
      </c>
      <c r="H11" s="25">
        <v>70</v>
      </c>
      <c r="I11" s="26"/>
      <c r="J11" s="41">
        <f t="shared" si="0"/>
        <v>5705.1</v>
      </c>
      <c r="K11" s="28"/>
    </row>
    <row r="12" spans="2:11" x14ac:dyDescent="0.25">
      <c r="B12" s="22" t="s">
        <v>355</v>
      </c>
      <c r="C12" s="23"/>
      <c r="D12" s="22"/>
      <c r="E12" s="24"/>
      <c r="F12" s="22" t="s">
        <v>361</v>
      </c>
      <c r="G12" s="24" t="s">
        <v>360</v>
      </c>
      <c r="H12" s="25">
        <v>1830</v>
      </c>
      <c r="I12" s="26"/>
      <c r="J12" s="41">
        <f t="shared" si="0"/>
        <v>7535.1</v>
      </c>
      <c r="K12" s="28" t="s">
        <v>164</v>
      </c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4"/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B15" s="29" t="s">
        <v>46</v>
      </c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H16" s="30"/>
      <c r="I16" s="30"/>
      <c r="J16" s="30"/>
    </row>
    <row r="17" spans="2:10" x14ac:dyDescent="0.25">
      <c r="B17" s="15" t="s">
        <v>47</v>
      </c>
    </row>
    <row r="18" spans="2:10" x14ac:dyDescent="0.25">
      <c r="I18" s="43"/>
    </row>
    <row r="19" spans="2:10" x14ac:dyDescent="0.25">
      <c r="I19" s="25"/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SUM(I18:I22)</f>
        <v>0</v>
      </c>
    </row>
    <row r="24" spans="2:10" x14ac:dyDescent="0.25">
      <c r="B24" s="15" t="s">
        <v>52</v>
      </c>
    </row>
    <row r="25" spans="2:10" x14ac:dyDescent="0.25">
      <c r="B25" s="24"/>
      <c r="C25" s="23"/>
      <c r="H25" s="32"/>
      <c r="I25" s="78"/>
    </row>
    <row r="26" spans="2:10" x14ac:dyDescent="0.25">
      <c r="B26" s="33" t="s">
        <v>54</v>
      </c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J12</f>
        <v>7535.1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355</v>
      </c>
      <c r="C7" s="23"/>
      <c r="D7" s="22"/>
      <c r="E7" s="24"/>
      <c r="F7" s="22"/>
      <c r="G7" s="24"/>
      <c r="H7" s="25"/>
      <c r="I7" s="26"/>
      <c r="J7" s="41">
        <f>'Jan 20'!J12</f>
        <v>7535.1</v>
      </c>
      <c r="K7" s="28" t="s">
        <v>164</v>
      </c>
    </row>
    <row r="8" spans="2:11" x14ac:dyDescent="0.25">
      <c r="B8" s="22" t="s">
        <v>362</v>
      </c>
      <c r="C8" s="23"/>
      <c r="D8" s="134" t="s">
        <v>365</v>
      </c>
      <c r="E8" s="24"/>
      <c r="F8" s="22"/>
      <c r="G8" s="24" t="s">
        <v>369</v>
      </c>
      <c r="H8" s="25"/>
      <c r="I8" s="26">
        <v>500</v>
      </c>
      <c r="J8" s="41">
        <f>J7+H8-I8</f>
        <v>7035.1</v>
      </c>
      <c r="K8" s="28"/>
    </row>
    <row r="9" spans="2:11" x14ac:dyDescent="0.25">
      <c r="B9" s="22" t="s">
        <v>363</v>
      </c>
      <c r="C9" s="23"/>
      <c r="D9" s="22"/>
      <c r="E9" s="24"/>
      <c r="F9" s="22" t="s">
        <v>366</v>
      </c>
      <c r="G9" s="24" t="s">
        <v>167</v>
      </c>
      <c r="H9" s="25">
        <v>150</v>
      </c>
      <c r="I9" s="26"/>
      <c r="J9" s="41">
        <f t="shared" ref="J9:J12" si="0">J8+H9-I9</f>
        <v>7185.1</v>
      </c>
      <c r="K9" s="28"/>
    </row>
    <row r="10" spans="2:11" x14ac:dyDescent="0.25">
      <c r="B10" s="22" t="s">
        <v>364</v>
      </c>
      <c r="C10" s="23"/>
      <c r="D10" s="22"/>
      <c r="E10" s="24" t="s">
        <v>367</v>
      </c>
      <c r="F10" s="22"/>
      <c r="G10" s="24" t="s">
        <v>368</v>
      </c>
      <c r="H10" s="25"/>
      <c r="I10" s="26">
        <v>45.31</v>
      </c>
      <c r="J10" s="41">
        <f t="shared" si="0"/>
        <v>7139.79</v>
      </c>
      <c r="K10" s="28"/>
    </row>
    <row r="11" spans="2:11" x14ac:dyDescent="0.25">
      <c r="B11" s="134" t="s">
        <v>377</v>
      </c>
      <c r="C11" s="23"/>
      <c r="D11" s="22"/>
      <c r="E11" s="24"/>
      <c r="F11" s="22"/>
      <c r="G11" s="24"/>
      <c r="H11" s="25"/>
      <c r="I11" s="26">
        <v>360</v>
      </c>
      <c r="J11" s="41">
        <f t="shared" si="0"/>
        <v>6779.79</v>
      </c>
      <c r="K11" s="28"/>
    </row>
    <row r="12" spans="2:11" x14ac:dyDescent="0.25">
      <c r="B12" s="134" t="s">
        <v>370</v>
      </c>
      <c r="C12" s="23"/>
      <c r="D12" s="22"/>
      <c r="E12" s="24"/>
      <c r="F12" s="22"/>
      <c r="G12" s="24"/>
      <c r="H12" s="25"/>
      <c r="I12" s="26"/>
      <c r="J12" s="41">
        <f t="shared" si="0"/>
        <v>6779.79</v>
      </c>
      <c r="K12" s="28" t="s">
        <v>164</v>
      </c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4"/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B15" s="29" t="s">
        <v>46</v>
      </c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H16" s="30"/>
      <c r="I16" s="30"/>
      <c r="J16" s="30"/>
    </row>
    <row r="17" spans="2:10" x14ac:dyDescent="0.25">
      <c r="B17" s="15" t="s">
        <v>47</v>
      </c>
    </row>
    <row r="18" spans="2:10" x14ac:dyDescent="0.25">
      <c r="I18" s="43"/>
    </row>
    <row r="19" spans="2:10" x14ac:dyDescent="0.25">
      <c r="I19" s="25"/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SUM(I18:I22)</f>
        <v>0</v>
      </c>
    </row>
    <row r="24" spans="2:10" x14ac:dyDescent="0.25">
      <c r="B24" s="15" t="s">
        <v>52</v>
      </c>
    </row>
    <row r="25" spans="2:10" x14ac:dyDescent="0.25">
      <c r="B25" s="24"/>
      <c r="C25" s="23"/>
      <c r="H25" s="32"/>
      <c r="I25" s="78"/>
    </row>
    <row r="26" spans="2:10" x14ac:dyDescent="0.25">
      <c r="B26" s="33" t="s">
        <v>54</v>
      </c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J11</f>
        <v>6779.79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8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393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370</v>
      </c>
      <c r="C7" s="23"/>
      <c r="D7" s="22"/>
      <c r="E7" s="24"/>
      <c r="F7" s="22"/>
      <c r="G7" s="24"/>
      <c r="H7" s="25"/>
      <c r="I7" s="26"/>
      <c r="J7" s="41">
        <f>'Feb 20'!J11</f>
        <v>6779.79</v>
      </c>
      <c r="K7" s="28" t="s">
        <v>164</v>
      </c>
    </row>
    <row r="8" spans="2:11" x14ac:dyDescent="0.25">
      <c r="B8" s="22" t="s">
        <v>371</v>
      </c>
      <c r="C8" s="23"/>
      <c r="D8" s="22"/>
      <c r="E8" s="24"/>
      <c r="F8" s="22"/>
      <c r="G8" s="24" t="s">
        <v>375</v>
      </c>
      <c r="H8" s="25"/>
      <c r="I8" s="26">
        <v>250</v>
      </c>
      <c r="J8" s="41">
        <f>J7+H8-I8</f>
        <v>6529.79</v>
      </c>
      <c r="K8" s="28"/>
    </row>
    <row r="9" spans="2:11" x14ac:dyDescent="0.25">
      <c r="B9" s="22" t="s">
        <v>372</v>
      </c>
      <c r="C9" s="23"/>
      <c r="D9" s="22"/>
      <c r="E9" s="24"/>
      <c r="F9" s="22"/>
      <c r="G9" s="24" t="s">
        <v>374</v>
      </c>
      <c r="H9" s="25"/>
      <c r="I9" s="26">
        <v>225</v>
      </c>
      <c r="J9" s="41">
        <f t="shared" ref="J9:J11" si="0">J8+H9-I9</f>
        <v>6304.79</v>
      </c>
      <c r="K9" s="28"/>
    </row>
    <row r="10" spans="2:11" x14ac:dyDescent="0.25">
      <c r="B10" s="22" t="s">
        <v>373</v>
      </c>
      <c r="C10" s="23"/>
      <c r="D10" s="22"/>
      <c r="E10" s="24"/>
      <c r="F10" s="22"/>
      <c r="G10" s="24" t="s">
        <v>376</v>
      </c>
      <c r="H10" s="25"/>
      <c r="I10" s="26">
        <v>210</v>
      </c>
      <c r="J10" s="41">
        <f t="shared" si="0"/>
        <v>6094.79</v>
      </c>
      <c r="K10" s="28"/>
    </row>
    <row r="11" spans="2:11" x14ac:dyDescent="0.25">
      <c r="B11" s="22" t="s">
        <v>378</v>
      </c>
      <c r="C11" s="23"/>
      <c r="D11" s="22"/>
      <c r="E11" s="24"/>
      <c r="F11" s="22"/>
      <c r="G11" s="24"/>
      <c r="H11" s="25"/>
      <c r="I11" s="26"/>
      <c r="J11" s="41">
        <f t="shared" si="0"/>
        <v>6094.79</v>
      </c>
      <c r="K11" s="28" t="s">
        <v>164</v>
      </c>
    </row>
    <row r="12" spans="2:11" x14ac:dyDescent="0.25">
      <c r="B12" s="24"/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B13" s="29" t="s">
        <v>46</v>
      </c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H14" s="30"/>
      <c r="I14" s="30"/>
      <c r="J14" s="30"/>
    </row>
    <row r="15" spans="2:11" x14ac:dyDescent="0.25">
      <c r="B15" s="15" t="s">
        <v>47</v>
      </c>
    </row>
    <row r="16" spans="2:11" x14ac:dyDescent="0.25">
      <c r="I16" s="43"/>
    </row>
    <row r="17" spans="2:10" x14ac:dyDescent="0.25">
      <c r="I17" s="25"/>
    </row>
    <row r="18" spans="2:10" x14ac:dyDescent="0.25">
      <c r="B18" s="15" t="s">
        <v>50</v>
      </c>
      <c r="I18" s="25"/>
    </row>
    <row r="19" spans="2:10" x14ac:dyDescent="0.25">
      <c r="I19" s="25"/>
    </row>
    <row r="20" spans="2:10" x14ac:dyDescent="0.25">
      <c r="I20" s="44"/>
    </row>
    <row r="21" spans="2:10" x14ac:dyDescent="0.25">
      <c r="I21" s="45">
        <f>SUM(I16:I20)</f>
        <v>0</v>
      </c>
    </row>
    <row r="22" spans="2:10" x14ac:dyDescent="0.25">
      <c r="B22" s="15" t="s">
        <v>52</v>
      </c>
    </row>
    <row r="23" spans="2:10" x14ac:dyDescent="0.25">
      <c r="B23" s="24"/>
      <c r="C23" s="23"/>
      <c r="H23" s="32"/>
      <c r="I23" s="78"/>
    </row>
    <row r="24" spans="2:10" x14ac:dyDescent="0.25">
      <c r="B24" s="33" t="s">
        <v>54</v>
      </c>
      <c r="C24" s="23"/>
      <c r="H24" s="32"/>
    </row>
    <row r="25" spans="2:10" x14ac:dyDescent="0.25">
      <c r="B25" s="33"/>
      <c r="C25" s="23"/>
      <c r="H25" s="32"/>
    </row>
    <row r="26" spans="2:10" x14ac:dyDescent="0.25">
      <c r="B26" s="35" t="s">
        <v>55</v>
      </c>
      <c r="C26" s="36"/>
      <c r="D26" s="37"/>
      <c r="E26" s="37"/>
      <c r="F26" s="37"/>
      <c r="G26" s="37"/>
      <c r="H26" s="37"/>
      <c r="I26" s="37"/>
      <c r="J26" s="38">
        <f>J10</f>
        <v>6094.79</v>
      </c>
    </row>
    <row r="28" spans="2:10" x14ac:dyDescent="0.25">
      <c r="I28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66"/>
  <sheetViews>
    <sheetView view="pageBreakPreview" topLeftCell="A3" zoomScale="110" zoomScaleNormal="110" zoomScaleSheetLayoutView="11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B6" sqref="B6"/>
    </sheetView>
  </sheetViews>
  <sheetFormatPr defaultRowHeight="15" x14ac:dyDescent="0.25"/>
  <cols>
    <col min="1" max="1" width="2.28515625" style="17" customWidth="1"/>
    <col min="2" max="2" width="9" style="17" customWidth="1"/>
    <col min="3" max="3" width="13" style="16" customWidth="1"/>
    <col min="4" max="4" width="7.5703125" style="17" customWidth="1"/>
    <col min="5" max="5" width="25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3" spans="2:11" hidden="1" x14ac:dyDescent="0.25">
      <c r="B3" s="17" t="s">
        <v>176</v>
      </c>
    </row>
    <row r="4" spans="2:11" hidden="1" x14ac:dyDescent="0.25">
      <c r="B4" s="17" t="s">
        <v>177</v>
      </c>
    </row>
    <row r="5" spans="2:11" hidden="1" x14ac:dyDescent="0.25">
      <c r="B5" s="17" t="s">
        <v>178</v>
      </c>
      <c r="J5" s="31"/>
    </row>
    <row r="6" spans="2:11" x14ac:dyDescent="0.25">
      <c r="B6" s="133">
        <v>43252</v>
      </c>
    </row>
    <row r="7" spans="2:11" s="6" customFormat="1" ht="30" x14ac:dyDescent="0.25">
      <c r="B7" s="18" t="s">
        <v>26</v>
      </c>
      <c r="C7" s="19" t="s">
        <v>27</v>
      </c>
      <c r="D7" s="18" t="s">
        <v>28</v>
      </c>
      <c r="E7" s="20" t="s">
        <v>29</v>
      </c>
      <c r="F7" s="18" t="s">
        <v>30</v>
      </c>
      <c r="G7" s="20" t="s">
        <v>31</v>
      </c>
      <c r="H7" s="18" t="s">
        <v>32</v>
      </c>
      <c r="I7" s="20" t="s">
        <v>33</v>
      </c>
      <c r="J7" s="18" t="s">
        <v>34</v>
      </c>
      <c r="K7" s="21" t="s">
        <v>35</v>
      </c>
    </row>
    <row r="8" spans="2:11" hidden="1" x14ac:dyDescent="0.25">
      <c r="B8" s="22" t="s">
        <v>179</v>
      </c>
      <c r="C8" s="23"/>
      <c r="D8" s="22"/>
      <c r="E8" s="24"/>
      <c r="F8" s="22"/>
      <c r="G8" s="24" t="s">
        <v>180</v>
      </c>
      <c r="H8" s="25"/>
      <c r="I8" s="26"/>
      <c r="J8" s="25">
        <f>1206.28</f>
        <v>1206.28</v>
      </c>
      <c r="K8" s="97"/>
    </row>
    <row r="9" spans="2:11" hidden="1" x14ac:dyDescent="0.25">
      <c r="B9" s="98" t="s">
        <v>181</v>
      </c>
      <c r="C9" s="99"/>
      <c r="D9" s="98"/>
      <c r="E9" s="28"/>
      <c r="F9" s="98"/>
      <c r="G9" s="28"/>
      <c r="H9" s="27"/>
      <c r="I9" s="100"/>
      <c r="J9" s="27">
        <f>J8</f>
        <v>1206.28</v>
      </c>
      <c r="K9" s="101" t="s">
        <v>38</v>
      </c>
    </row>
    <row r="10" spans="2:11" hidden="1" x14ac:dyDescent="0.25">
      <c r="B10" s="98" t="s">
        <v>182</v>
      </c>
      <c r="C10" s="99"/>
      <c r="D10" s="98"/>
      <c r="E10" s="28"/>
      <c r="F10" s="98"/>
      <c r="G10" s="28"/>
      <c r="H10" s="27"/>
      <c r="I10" s="100"/>
      <c r="J10" s="27">
        <f>J9</f>
        <v>1206.28</v>
      </c>
      <c r="K10" s="101" t="s">
        <v>38</v>
      </c>
    </row>
    <row r="11" spans="2:11" hidden="1" x14ac:dyDescent="0.25">
      <c r="B11" s="22" t="s">
        <v>183</v>
      </c>
      <c r="C11" s="23"/>
      <c r="D11" s="22"/>
      <c r="E11" s="24"/>
      <c r="F11" s="22"/>
      <c r="G11" s="24" t="s">
        <v>134</v>
      </c>
      <c r="H11" s="25"/>
      <c r="I11" s="26">
        <v>5.14</v>
      </c>
      <c r="J11" s="25">
        <f>J10+H11-I11</f>
        <v>1201.1399999999999</v>
      </c>
      <c r="K11" s="97"/>
    </row>
    <row r="12" spans="2:11" hidden="1" x14ac:dyDescent="0.25">
      <c r="B12" s="22" t="s">
        <v>184</v>
      </c>
      <c r="C12" s="23"/>
      <c r="D12" s="22"/>
      <c r="E12" s="24"/>
      <c r="F12" s="22" t="s">
        <v>185</v>
      </c>
      <c r="G12" s="24" t="s">
        <v>186</v>
      </c>
      <c r="H12" s="25">
        <v>1225</v>
      </c>
      <c r="I12" s="26"/>
      <c r="J12" s="25">
        <f>J11+H12-I12</f>
        <v>2426.14</v>
      </c>
      <c r="K12" s="97" t="s">
        <v>185</v>
      </c>
    </row>
    <row r="13" spans="2:11" hidden="1" x14ac:dyDescent="0.25">
      <c r="B13" s="98" t="s">
        <v>187</v>
      </c>
      <c r="C13" s="99"/>
      <c r="D13" s="98"/>
      <c r="E13" s="28"/>
      <c r="F13" s="98"/>
      <c r="G13" s="28"/>
      <c r="H13" s="27"/>
      <c r="I13" s="100"/>
      <c r="J13" s="27">
        <f>J12+H13-I13</f>
        <v>2426.14</v>
      </c>
      <c r="K13" s="101" t="s">
        <v>38</v>
      </c>
    </row>
    <row r="14" spans="2:11" hidden="1" x14ac:dyDescent="0.25">
      <c r="B14" s="22" t="s">
        <v>188</v>
      </c>
      <c r="C14" s="23"/>
      <c r="D14" s="22">
        <v>304</v>
      </c>
      <c r="E14" s="24" t="s">
        <v>189</v>
      </c>
      <c r="F14" s="22"/>
      <c r="G14" s="24" t="s">
        <v>190</v>
      </c>
      <c r="H14" s="25"/>
      <c r="I14" s="26">
        <v>100</v>
      </c>
      <c r="J14" s="25">
        <f t="shared" ref="J14:J44" si="0">J13+H14-I14</f>
        <v>2326.14</v>
      </c>
      <c r="K14" s="97"/>
    </row>
    <row r="15" spans="2:11" hidden="1" x14ac:dyDescent="0.25">
      <c r="B15" s="22" t="s">
        <v>191</v>
      </c>
      <c r="C15" s="23"/>
      <c r="D15" s="22">
        <v>308</v>
      </c>
      <c r="E15" s="24" t="s">
        <v>192</v>
      </c>
      <c r="F15" s="22"/>
      <c r="G15" s="24"/>
      <c r="H15" s="25"/>
      <c r="I15" s="26">
        <v>200</v>
      </c>
      <c r="J15" s="25">
        <f t="shared" si="0"/>
        <v>2126.14</v>
      </c>
      <c r="K15" s="97"/>
    </row>
    <row r="16" spans="2:11" hidden="1" x14ac:dyDescent="0.25">
      <c r="B16" s="22" t="s">
        <v>193</v>
      </c>
      <c r="C16" s="23"/>
      <c r="D16" s="22"/>
      <c r="E16" s="24"/>
      <c r="F16" s="22" t="s">
        <v>194</v>
      </c>
      <c r="G16" s="24" t="s">
        <v>186</v>
      </c>
      <c r="H16" s="25">
        <v>825</v>
      </c>
      <c r="I16" s="26"/>
      <c r="J16" s="25">
        <f t="shared" si="0"/>
        <v>2951.14</v>
      </c>
      <c r="K16" s="97" t="s">
        <v>194</v>
      </c>
    </row>
    <row r="17" spans="2:11" hidden="1" x14ac:dyDescent="0.25">
      <c r="B17" s="98" t="s">
        <v>195</v>
      </c>
      <c r="C17" s="99"/>
      <c r="D17" s="98"/>
      <c r="E17" s="28"/>
      <c r="F17" s="98"/>
      <c r="G17" s="28"/>
      <c r="H17" s="27"/>
      <c r="I17" s="100"/>
      <c r="J17" s="27">
        <f t="shared" si="0"/>
        <v>2951.14</v>
      </c>
      <c r="K17" s="101" t="s">
        <v>38</v>
      </c>
    </row>
    <row r="18" spans="2:11" hidden="1" x14ac:dyDescent="0.25">
      <c r="B18" s="22" t="s">
        <v>196</v>
      </c>
      <c r="C18" s="23"/>
      <c r="D18" s="22">
        <v>310</v>
      </c>
      <c r="E18" s="24" t="s">
        <v>111</v>
      </c>
      <c r="F18" s="22"/>
      <c r="G18" s="24" t="s">
        <v>197</v>
      </c>
      <c r="H18" s="25"/>
      <c r="I18" s="26">
        <v>475.47</v>
      </c>
      <c r="J18" s="25">
        <f t="shared" si="0"/>
        <v>2475.67</v>
      </c>
      <c r="K18" s="97"/>
    </row>
    <row r="19" spans="2:11" hidden="1" x14ac:dyDescent="0.25">
      <c r="B19" s="22" t="s">
        <v>198</v>
      </c>
      <c r="C19" s="23"/>
      <c r="D19" s="22"/>
      <c r="E19" s="24"/>
      <c r="F19" s="22" t="s">
        <v>44</v>
      </c>
      <c r="G19" s="24" t="s">
        <v>199</v>
      </c>
      <c r="H19" s="25">
        <v>250</v>
      </c>
      <c r="I19" s="26"/>
      <c r="J19" s="25">
        <f t="shared" si="0"/>
        <v>2725.67</v>
      </c>
      <c r="K19" s="97"/>
    </row>
    <row r="20" spans="2:11" hidden="1" x14ac:dyDescent="0.25">
      <c r="B20" s="22" t="s">
        <v>200</v>
      </c>
      <c r="C20" s="23"/>
      <c r="D20" s="22">
        <v>309</v>
      </c>
      <c r="E20" s="24" t="s">
        <v>201</v>
      </c>
      <c r="F20" s="22"/>
      <c r="G20" s="24" t="s">
        <v>202</v>
      </c>
      <c r="H20" s="25"/>
      <c r="I20" s="26">
        <v>306.62</v>
      </c>
      <c r="J20" s="25">
        <f t="shared" si="0"/>
        <v>2419.0500000000002</v>
      </c>
      <c r="K20" s="97"/>
    </row>
    <row r="21" spans="2:11" hidden="1" x14ac:dyDescent="0.25">
      <c r="B21" s="22" t="s">
        <v>203</v>
      </c>
      <c r="C21" s="23"/>
      <c r="D21" s="22"/>
      <c r="E21" s="24"/>
      <c r="F21" s="22"/>
      <c r="G21" s="24" t="s">
        <v>134</v>
      </c>
      <c r="H21" s="25"/>
      <c r="I21" s="26">
        <v>4.68</v>
      </c>
      <c r="J21" s="25">
        <f t="shared" si="0"/>
        <v>2414.3700000000003</v>
      </c>
      <c r="K21" s="97"/>
    </row>
    <row r="22" spans="2:11" hidden="1" x14ac:dyDescent="0.25">
      <c r="B22" s="98" t="s">
        <v>204</v>
      </c>
      <c r="C22" s="99"/>
      <c r="D22" s="98"/>
      <c r="E22" s="28"/>
      <c r="F22" s="98"/>
      <c r="G22" s="28"/>
      <c r="H22" s="27"/>
      <c r="I22" s="100"/>
      <c r="J22" s="27">
        <f t="shared" si="0"/>
        <v>2414.3700000000003</v>
      </c>
      <c r="K22" s="101" t="s">
        <v>38</v>
      </c>
    </row>
    <row r="23" spans="2:11" hidden="1" x14ac:dyDescent="0.25">
      <c r="B23" s="22" t="s">
        <v>205</v>
      </c>
      <c r="C23" s="23"/>
      <c r="D23" s="22">
        <v>311</v>
      </c>
      <c r="E23" s="24" t="s">
        <v>111</v>
      </c>
      <c r="F23" s="22"/>
      <c r="G23" s="24" t="s">
        <v>206</v>
      </c>
      <c r="H23" s="25"/>
      <c r="I23" s="26">
        <v>77</v>
      </c>
      <c r="J23" s="25">
        <f t="shared" si="0"/>
        <v>2337.3700000000003</v>
      </c>
      <c r="K23" s="97"/>
    </row>
    <row r="24" spans="2:11" hidden="1" x14ac:dyDescent="0.25">
      <c r="B24" s="22" t="s">
        <v>207</v>
      </c>
      <c r="C24" s="23" t="s">
        <v>208</v>
      </c>
      <c r="D24" s="22">
        <v>312</v>
      </c>
      <c r="E24" s="24" t="s">
        <v>209</v>
      </c>
      <c r="F24" s="22"/>
      <c r="G24" s="24" t="s">
        <v>210</v>
      </c>
      <c r="H24" s="25"/>
      <c r="I24" s="26">
        <v>430</v>
      </c>
      <c r="J24" s="25">
        <f t="shared" si="0"/>
        <v>1907.3700000000003</v>
      </c>
      <c r="K24" s="97"/>
    </row>
    <row r="25" spans="2:11" hidden="1" x14ac:dyDescent="0.25">
      <c r="B25" s="98" t="s">
        <v>211</v>
      </c>
      <c r="C25" s="99"/>
      <c r="D25" s="98"/>
      <c r="E25" s="28"/>
      <c r="F25" s="98"/>
      <c r="G25" s="28"/>
      <c r="H25" s="27"/>
      <c r="I25" s="100"/>
      <c r="J25" s="27">
        <f t="shared" si="0"/>
        <v>1907.3700000000003</v>
      </c>
      <c r="K25" s="101" t="s">
        <v>38</v>
      </c>
    </row>
    <row r="26" spans="2:11" hidden="1" x14ac:dyDescent="0.25">
      <c r="B26" s="22" t="s">
        <v>212</v>
      </c>
      <c r="C26" s="23"/>
      <c r="D26" s="22">
        <v>314</v>
      </c>
      <c r="E26" s="24" t="s">
        <v>213</v>
      </c>
      <c r="F26" s="22"/>
      <c r="G26" s="24" t="s">
        <v>214</v>
      </c>
      <c r="H26" s="25"/>
      <c r="I26" s="26">
        <v>63.6</v>
      </c>
      <c r="J26" s="25">
        <f t="shared" si="0"/>
        <v>1843.7700000000004</v>
      </c>
      <c r="K26" s="97"/>
    </row>
    <row r="27" spans="2:11" hidden="1" x14ac:dyDescent="0.25">
      <c r="B27" s="22" t="s">
        <v>215</v>
      </c>
      <c r="C27" s="23"/>
      <c r="D27" s="22"/>
      <c r="E27" s="24"/>
      <c r="F27" s="22" t="s">
        <v>216</v>
      </c>
      <c r="G27" s="24" t="s">
        <v>186</v>
      </c>
      <c r="H27" s="25">
        <v>2570</v>
      </c>
      <c r="I27" s="26"/>
      <c r="J27" s="25">
        <f t="shared" si="0"/>
        <v>4413.7700000000004</v>
      </c>
      <c r="K27" s="97" t="s">
        <v>216</v>
      </c>
    </row>
    <row r="28" spans="2:11" hidden="1" x14ac:dyDescent="0.25">
      <c r="B28" s="22" t="s">
        <v>217</v>
      </c>
      <c r="C28" s="23"/>
      <c r="D28" s="22">
        <v>313</v>
      </c>
      <c r="E28" s="24" t="s">
        <v>218</v>
      </c>
      <c r="F28" s="22"/>
      <c r="G28" s="24" t="s">
        <v>214</v>
      </c>
      <c r="H28" s="25"/>
      <c r="I28" s="26">
        <v>63.6</v>
      </c>
      <c r="J28" s="25">
        <f t="shared" si="0"/>
        <v>4350.17</v>
      </c>
      <c r="K28" s="97"/>
    </row>
    <row r="29" spans="2:11" hidden="1" x14ac:dyDescent="0.25">
      <c r="B29" s="22" t="s">
        <v>217</v>
      </c>
      <c r="C29" s="23"/>
      <c r="D29" s="22">
        <v>317</v>
      </c>
      <c r="E29" s="24"/>
      <c r="F29" s="22"/>
      <c r="G29" s="24" t="s">
        <v>219</v>
      </c>
      <c r="H29" s="25"/>
      <c r="I29" s="26">
        <v>1380</v>
      </c>
      <c r="J29" s="25">
        <f t="shared" si="0"/>
        <v>2970.17</v>
      </c>
      <c r="K29" s="97"/>
    </row>
    <row r="30" spans="2:11" hidden="1" x14ac:dyDescent="0.25">
      <c r="B30" s="98" t="s">
        <v>220</v>
      </c>
      <c r="C30" s="99"/>
      <c r="D30" s="98"/>
      <c r="E30" s="28"/>
      <c r="F30" s="98"/>
      <c r="G30" s="28"/>
      <c r="H30" s="27"/>
      <c r="I30" s="100"/>
      <c r="J30" s="27">
        <f t="shared" si="0"/>
        <v>2970.17</v>
      </c>
      <c r="K30" s="28" t="s">
        <v>38</v>
      </c>
    </row>
    <row r="31" spans="2:11" hidden="1" x14ac:dyDescent="0.25">
      <c r="B31" s="22" t="s">
        <v>221</v>
      </c>
      <c r="C31" s="23"/>
      <c r="D31" s="22"/>
      <c r="E31" s="24"/>
      <c r="F31" s="22"/>
      <c r="G31" s="24" t="s">
        <v>222</v>
      </c>
      <c r="H31" s="25"/>
      <c r="I31" s="26">
        <f>6.36</f>
        <v>6.36</v>
      </c>
      <c r="J31" s="25">
        <f t="shared" si="0"/>
        <v>2963.81</v>
      </c>
      <c r="K31" s="24"/>
    </row>
    <row r="32" spans="2:11" hidden="1" x14ac:dyDescent="0.25">
      <c r="B32" s="22" t="s">
        <v>223</v>
      </c>
      <c r="C32" s="23"/>
      <c r="D32" s="22">
        <v>316</v>
      </c>
      <c r="E32" s="24" t="s">
        <v>224</v>
      </c>
      <c r="F32" s="22"/>
      <c r="G32" s="24" t="s">
        <v>214</v>
      </c>
      <c r="H32" s="25"/>
      <c r="I32" s="26">
        <v>63.6</v>
      </c>
      <c r="J32" s="27">
        <f t="shared" si="0"/>
        <v>2900.21</v>
      </c>
      <c r="K32" s="28" t="s">
        <v>38</v>
      </c>
    </row>
    <row r="33" spans="2:11" hidden="1" x14ac:dyDescent="0.25">
      <c r="B33" s="22" t="s">
        <v>225</v>
      </c>
      <c r="C33" s="23"/>
      <c r="D33" s="22">
        <v>320</v>
      </c>
      <c r="E33" s="24" t="s">
        <v>226</v>
      </c>
      <c r="F33" s="22"/>
      <c r="G33" s="24" t="s">
        <v>227</v>
      </c>
      <c r="H33" s="25"/>
      <c r="I33" s="26">
        <v>162</v>
      </c>
      <c r="J33" s="25">
        <f t="shared" si="0"/>
        <v>2738.21</v>
      </c>
      <c r="K33" s="24"/>
    </row>
    <row r="34" spans="2:11" hidden="1" x14ac:dyDescent="0.25">
      <c r="B34" s="22" t="s">
        <v>228</v>
      </c>
      <c r="C34" s="23"/>
      <c r="D34" s="22">
        <v>318</v>
      </c>
      <c r="E34" s="24" t="s">
        <v>229</v>
      </c>
      <c r="F34" s="22"/>
      <c r="G34" s="24" t="s">
        <v>230</v>
      </c>
      <c r="H34" s="25"/>
      <c r="I34" s="26">
        <v>80</v>
      </c>
      <c r="J34" s="25">
        <f t="shared" si="0"/>
        <v>2658.21</v>
      </c>
      <c r="K34" s="24"/>
    </row>
    <row r="35" spans="2:11" hidden="1" x14ac:dyDescent="0.25">
      <c r="B35" s="22" t="s">
        <v>228</v>
      </c>
      <c r="C35" s="23"/>
      <c r="D35" s="22">
        <v>321</v>
      </c>
      <c r="E35" s="24" t="s">
        <v>111</v>
      </c>
      <c r="F35" s="22"/>
      <c r="G35" s="24" t="s">
        <v>231</v>
      </c>
      <c r="H35" s="25"/>
      <c r="I35" s="26">
        <v>242.31</v>
      </c>
      <c r="J35" s="25">
        <f t="shared" si="0"/>
        <v>2415.9</v>
      </c>
      <c r="K35" s="24"/>
    </row>
    <row r="36" spans="2:11" hidden="1" x14ac:dyDescent="0.25">
      <c r="B36" s="22" t="s">
        <v>228</v>
      </c>
      <c r="C36" s="23"/>
      <c r="D36" s="22">
        <v>322</v>
      </c>
      <c r="E36" s="24" t="s">
        <v>232</v>
      </c>
      <c r="F36" s="22"/>
      <c r="G36" s="24" t="s">
        <v>233</v>
      </c>
      <c r="H36" s="25"/>
      <c r="I36" s="26">
        <v>95.94</v>
      </c>
      <c r="J36" s="25">
        <f t="shared" si="0"/>
        <v>2319.96</v>
      </c>
      <c r="K36" s="24"/>
    </row>
    <row r="37" spans="2:11" hidden="1" x14ac:dyDescent="0.25">
      <c r="B37" s="22" t="s">
        <v>234</v>
      </c>
      <c r="C37" s="23"/>
      <c r="D37" s="22"/>
      <c r="E37" s="24" t="s">
        <v>235</v>
      </c>
      <c r="F37" s="22"/>
      <c r="G37" s="24" t="s">
        <v>235</v>
      </c>
      <c r="H37" s="25">
        <v>200</v>
      </c>
      <c r="I37" s="26"/>
      <c r="J37" s="25">
        <f t="shared" si="0"/>
        <v>2519.96</v>
      </c>
      <c r="K37" s="24"/>
    </row>
    <row r="38" spans="2:11" hidden="1" x14ac:dyDescent="0.25">
      <c r="B38" s="22" t="s">
        <v>236</v>
      </c>
      <c r="C38" s="23"/>
      <c r="D38" s="22"/>
      <c r="E38" s="24" t="s">
        <v>237</v>
      </c>
      <c r="F38" s="22"/>
      <c r="G38" s="24" t="s">
        <v>238</v>
      </c>
      <c r="H38" s="25">
        <v>290</v>
      </c>
      <c r="I38" s="26"/>
      <c r="J38" s="27">
        <f t="shared" si="0"/>
        <v>2809.96</v>
      </c>
      <c r="K38" s="28" t="s">
        <v>38</v>
      </c>
    </row>
    <row r="39" spans="2:11" hidden="1" x14ac:dyDescent="0.25">
      <c r="B39" s="22" t="s">
        <v>239</v>
      </c>
      <c r="C39" s="23"/>
      <c r="D39" s="22"/>
      <c r="E39" s="24" t="s">
        <v>237</v>
      </c>
      <c r="F39" s="22"/>
      <c r="G39" s="24" t="s">
        <v>240</v>
      </c>
      <c r="H39" s="25">
        <v>703</v>
      </c>
      <c r="I39" s="26"/>
      <c r="J39" s="25">
        <f t="shared" si="0"/>
        <v>3512.96</v>
      </c>
      <c r="K39" s="24"/>
    </row>
    <row r="40" spans="2:11" x14ac:dyDescent="0.25">
      <c r="B40" s="110" t="s">
        <v>241</v>
      </c>
      <c r="C40" s="111"/>
      <c r="D40" s="110"/>
      <c r="E40" s="112" t="s">
        <v>237</v>
      </c>
      <c r="F40" s="110"/>
      <c r="G40" s="112" t="s">
        <v>242</v>
      </c>
      <c r="H40" s="102">
        <v>390</v>
      </c>
      <c r="I40" s="113"/>
      <c r="J40" s="102">
        <f t="shared" si="0"/>
        <v>3902.96</v>
      </c>
      <c r="K40" s="103" t="s">
        <v>38</v>
      </c>
    </row>
    <row r="41" spans="2:11" x14ac:dyDescent="0.25">
      <c r="B41" s="22" t="s">
        <v>243</v>
      </c>
      <c r="C41" s="23"/>
      <c r="D41" s="22"/>
      <c r="E41" s="24" t="s">
        <v>237</v>
      </c>
      <c r="F41" s="22"/>
      <c r="G41" s="24" t="s">
        <v>247</v>
      </c>
      <c r="H41" s="40">
        <v>565</v>
      </c>
      <c r="I41" s="26"/>
      <c r="J41" s="27">
        <f t="shared" si="0"/>
        <v>4467.96</v>
      </c>
      <c r="K41" s="97"/>
    </row>
    <row r="42" spans="2:11" x14ac:dyDescent="0.25">
      <c r="B42" s="22" t="s">
        <v>244</v>
      </c>
      <c r="C42" s="23"/>
      <c r="D42" s="22"/>
      <c r="E42" s="24"/>
      <c r="F42" s="22"/>
      <c r="G42" s="24" t="s">
        <v>245</v>
      </c>
      <c r="H42" s="25"/>
      <c r="I42" s="39">
        <v>6.36</v>
      </c>
      <c r="J42" s="27">
        <f t="shared" si="0"/>
        <v>4461.6000000000004</v>
      </c>
      <c r="K42" s="97"/>
    </row>
    <row r="43" spans="2:11" x14ac:dyDescent="0.25">
      <c r="B43" s="22" t="s">
        <v>246</v>
      </c>
      <c r="C43" s="23"/>
      <c r="D43" s="22"/>
      <c r="E43" s="24" t="s">
        <v>237</v>
      </c>
      <c r="F43" s="22"/>
      <c r="G43" s="24" t="s">
        <v>247</v>
      </c>
      <c r="H43" s="40">
        <v>245</v>
      </c>
      <c r="I43" s="26"/>
      <c r="J43" s="27">
        <f t="shared" si="0"/>
        <v>4706.6000000000004</v>
      </c>
      <c r="K43" s="97"/>
    </row>
    <row r="44" spans="2:11" x14ac:dyDescent="0.25">
      <c r="B44" s="22" t="s">
        <v>248</v>
      </c>
      <c r="C44" s="23"/>
      <c r="D44" s="22"/>
      <c r="E44" s="24" t="s">
        <v>237</v>
      </c>
      <c r="F44" s="22"/>
      <c r="G44" s="24" t="s">
        <v>247</v>
      </c>
      <c r="H44" s="40">
        <v>305</v>
      </c>
      <c r="I44" s="26"/>
      <c r="J44" s="27">
        <f t="shared" si="0"/>
        <v>5011.6000000000004</v>
      </c>
      <c r="K44" s="101" t="s">
        <v>38</v>
      </c>
    </row>
    <row r="45" spans="2:11" x14ac:dyDescent="0.25">
      <c r="B45" s="104"/>
      <c r="C45" s="105"/>
      <c r="D45" s="104"/>
      <c r="E45" s="106"/>
      <c r="F45" s="104"/>
      <c r="G45" s="106"/>
      <c r="H45" s="44"/>
      <c r="I45" s="107"/>
      <c r="J45" s="108"/>
      <c r="K45" s="109"/>
    </row>
    <row r="46" spans="2:11" x14ac:dyDescent="0.25">
      <c r="B46" s="22"/>
      <c r="C46" s="23"/>
      <c r="D46" s="22"/>
      <c r="E46" s="24"/>
      <c r="F46" s="22"/>
      <c r="G46" s="24"/>
      <c r="H46" s="25"/>
      <c r="I46" s="26"/>
      <c r="J46" s="27"/>
      <c r="K46" s="24"/>
    </row>
    <row r="47" spans="2:11" x14ac:dyDescent="0.25">
      <c r="B47" s="24"/>
      <c r="C47" s="23"/>
      <c r="D47" s="24"/>
      <c r="E47" s="24"/>
      <c r="F47" s="24"/>
      <c r="G47" s="24"/>
      <c r="H47" s="26"/>
      <c r="I47" s="26"/>
      <c r="J47" s="26"/>
      <c r="K47" s="24"/>
    </row>
    <row r="48" spans="2:11" x14ac:dyDescent="0.25">
      <c r="B48" s="29" t="s">
        <v>46</v>
      </c>
      <c r="C48" s="23"/>
      <c r="D48" s="24"/>
      <c r="E48" s="24"/>
      <c r="F48" s="24"/>
      <c r="G48" s="24"/>
      <c r="H48" s="26"/>
      <c r="I48" s="26"/>
      <c r="J48" s="26"/>
      <c r="K48" s="24"/>
    </row>
    <row r="49" spans="2:10" x14ac:dyDescent="0.25">
      <c r="H49" s="30"/>
      <c r="I49" s="30"/>
      <c r="J49" s="30"/>
    </row>
    <row r="50" spans="2:10" x14ac:dyDescent="0.25">
      <c r="B50" s="15" t="s">
        <v>47</v>
      </c>
    </row>
    <row r="51" spans="2:10" x14ac:dyDescent="0.25">
      <c r="B51" s="17" t="s">
        <v>249</v>
      </c>
      <c r="I51" s="30">
        <v>63.6</v>
      </c>
    </row>
    <row r="52" spans="2:10" x14ac:dyDescent="0.25">
      <c r="B52" s="17" t="s">
        <v>49</v>
      </c>
      <c r="I52" s="30">
        <v>225</v>
      </c>
    </row>
    <row r="53" spans="2:10" x14ac:dyDescent="0.25">
      <c r="B53" s="15" t="s">
        <v>50</v>
      </c>
      <c r="I53" s="30"/>
    </row>
    <row r="54" spans="2:10" x14ac:dyDescent="0.25">
      <c r="B54" s="17" t="s">
        <v>51</v>
      </c>
      <c r="I54" s="30">
        <v>348.12</v>
      </c>
    </row>
    <row r="55" spans="2:10" x14ac:dyDescent="0.25">
      <c r="I55" s="30"/>
    </row>
    <row r="56" spans="2:10" x14ac:dyDescent="0.25">
      <c r="I56" s="31">
        <f>SUM(I51:I55)</f>
        <v>636.72</v>
      </c>
    </row>
    <row r="57" spans="2:10" x14ac:dyDescent="0.25">
      <c r="B57" s="15" t="s">
        <v>52</v>
      </c>
    </row>
    <row r="58" spans="2:10" x14ac:dyDescent="0.25">
      <c r="B58" s="24" t="s">
        <v>53</v>
      </c>
      <c r="C58" s="23"/>
      <c r="H58" s="32">
        <v>0</v>
      </c>
    </row>
    <row r="59" spans="2:10" x14ac:dyDescent="0.25">
      <c r="B59" s="33" t="s">
        <v>54</v>
      </c>
      <c r="C59" s="23"/>
      <c r="H59" s="32"/>
    </row>
    <row r="60" spans="2:10" x14ac:dyDescent="0.25">
      <c r="B60" s="34" t="s">
        <v>250</v>
      </c>
      <c r="C60" s="23"/>
      <c r="H60" s="32">
        <v>150</v>
      </c>
    </row>
    <row r="61" spans="2:10" x14ac:dyDescent="0.25">
      <c r="B61" s="33"/>
      <c r="C61" s="23"/>
      <c r="H61" s="32"/>
    </row>
    <row r="62" spans="2:10" x14ac:dyDescent="0.25">
      <c r="B62" s="35" t="s">
        <v>55</v>
      </c>
      <c r="C62" s="36"/>
      <c r="D62" s="37"/>
      <c r="E62" s="37"/>
      <c r="F62" s="37"/>
      <c r="G62" s="37"/>
      <c r="H62" s="37"/>
      <c r="I62" s="37"/>
      <c r="J62" s="38">
        <f>J44-I56+H58+H60</f>
        <v>4524.88</v>
      </c>
    </row>
    <row r="64" spans="2:10" x14ac:dyDescent="0.25">
      <c r="I64" s="30"/>
    </row>
    <row r="65" spans="9:9" x14ac:dyDescent="0.25">
      <c r="I65" s="30"/>
    </row>
    <row r="66" spans="9:9" x14ac:dyDescent="0.25">
      <c r="I66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378</v>
      </c>
      <c r="C7" s="23"/>
      <c r="D7" s="22"/>
      <c r="E7" s="24"/>
      <c r="F7" s="22"/>
      <c r="G7" s="24"/>
      <c r="H7" s="25"/>
      <c r="I7" s="26"/>
      <c r="J7" s="41">
        <f>'Mar 20'!J10</f>
        <v>6094.79</v>
      </c>
      <c r="K7" s="28" t="s">
        <v>164</v>
      </c>
    </row>
    <row r="8" spans="2:11" x14ac:dyDescent="0.25">
      <c r="B8" s="22" t="s">
        <v>379</v>
      </c>
      <c r="C8" s="23"/>
      <c r="D8" s="22"/>
      <c r="E8" s="24"/>
      <c r="F8" s="22"/>
      <c r="G8" s="24" t="s">
        <v>386</v>
      </c>
      <c r="H8" s="25"/>
      <c r="I8" s="26">
        <v>6.58</v>
      </c>
      <c r="J8" s="41">
        <f>J7+H8-I8</f>
        <v>6088.21</v>
      </c>
      <c r="K8" s="28"/>
    </row>
    <row r="9" spans="2:11" x14ac:dyDescent="0.25">
      <c r="B9" s="22" t="s">
        <v>416</v>
      </c>
      <c r="C9" s="23"/>
      <c r="D9" s="22"/>
      <c r="E9" s="24"/>
      <c r="F9" s="22"/>
      <c r="G9" s="24"/>
      <c r="H9" s="25"/>
      <c r="I9" s="26"/>
      <c r="J9" s="41">
        <f>J8+H9-I9</f>
        <v>6088.21</v>
      </c>
      <c r="K9" s="28" t="s">
        <v>164</v>
      </c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J9</f>
        <v>6088.21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5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9" style="17" customWidth="1"/>
    <col min="7" max="7" width="28.57031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391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390</v>
      </c>
      <c r="C7" s="23"/>
      <c r="D7" s="22"/>
      <c r="E7" s="24"/>
      <c r="F7" s="22"/>
      <c r="G7" s="24"/>
      <c r="H7" s="25"/>
      <c r="I7" s="26"/>
      <c r="J7" s="41">
        <f>'Apr 20'!J8</f>
        <v>6088.21</v>
      </c>
      <c r="K7" s="28" t="s">
        <v>164</v>
      </c>
    </row>
    <row r="8" spans="2:11" x14ac:dyDescent="0.25">
      <c r="B8" s="22"/>
      <c r="C8" s="23"/>
      <c r="D8" s="22"/>
      <c r="E8" s="24"/>
      <c r="F8" s="22"/>
      <c r="G8" s="24"/>
      <c r="H8" s="25"/>
      <c r="I8" s="26"/>
      <c r="J8" s="41"/>
      <c r="K8" s="28"/>
    </row>
    <row r="9" spans="2:11" x14ac:dyDescent="0.25">
      <c r="B9" s="24"/>
      <c r="C9" s="23"/>
      <c r="D9" s="24"/>
      <c r="E9" s="24"/>
      <c r="F9" s="24"/>
      <c r="G9" s="24"/>
      <c r="H9" s="26"/>
      <c r="I9" s="26"/>
      <c r="J9" s="26"/>
      <c r="K9" s="24"/>
    </row>
    <row r="10" spans="2:11" x14ac:dyDescent="0.25">
      <c r="B10" s="29" t="s">
        <v>46</v>
      </c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H11" s="30"/>
      <c r="I11" s="30"/>
      <c r="J11" s="30"/>
    </row>
    <row r="12" spans="2:11" x14ac:dyDescent="0.25">
      <c r="B12" s="15" t="s">
        <v>47</v>
      </c>
    </row>
    <row r="13" spans="2:11" x14ac:dyDescent="0.25">
      <c r="I13" s="43"/>
    </row>
    <row r="14" spans="2:11" x14ac:dyDescent="0.25">
      <c r="I14" s="25"/>
    </row>
    <row r="15" spans="2:11" x14ac:dyDescent="0.25">
      <c r="B15" s="15" t="s">
        <v>50</v>
      </c>
      <c r="I15" s="25"/>
    </row>
    <row r="16" spans="2:11" x14ac:dyDescent="0.25">
      <c r="I16" s="25"/>
    </row>
    <row r="17" spans="2:10" x14ac:dyDescent="0.25">
      <c r="I17" s="44"/>
    </row>
    <row r="18" spans="2:10" x14ac:dyDescent="0.25">
      <c r="I18" s="45">
        <f>SUM(I13:I17)</f>
        <v>0</v>
      </c>
    </row>
    <row r="19" spans="2:10" x14ac:dyDescent="0.25">
      <c r="B19" s="15" t="s">
        <v>52</v>
      </c>
    </row>
    <row r="20" spans="2:10" x14ac:dyDescent="0.25">
      <c r="B20" s="24"/>
      <c r="C20" s="23"/>
      <c r="H20" s="32"/>
      <c r="I20" s="78"/>
    </row>
    <row r="21" spans="2:10" x14ac:dyDescent="0.25">
      <c r="B21" s="33" t="s">
        <v>54</v>
      </c>
      <c r="C21" s="23"/>
      <c r="H21" s="32"/>
    </row>
    <row r="22" spans="2:10" x14ac:dyDescent="0.25">
      <c r="B22" s="33"/>
      <c r="C22" s="23"/>
      <c r="H22" s="32"/>
    </row>
    <row r="23" spans="2:10" x14ac:dyDescent="0.25">
      <c r="B23" s="35" t="s">
        <v>55</v>
      </c>
      <c r="C23" s="36"/>
      <c r="D23" s="37"/>
      <c r="E23" s="37"/>
      <c r="F23" s="37"/>
      <c r="G23" s="37"/>
      <c r="H23" s="37"/>
      <c r="I23" s="37"/>
      <c r="J23" s="38">
        <f>J8</f>
        <v>0</v>
      </c>
    </row>
    <row r="25" spans="2:10" x14ac:dyDescent="0.25">
      <c r="I25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9" style="17" customWidth="1"/>
    <col min="7" max="7" width="28.57031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389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380</v>
      </c>
      <c r="C7" s="23"/>
      <c r="D7" s="22"/>
      <c r="E7" s="24"/>
      <c r="F7" s="22"/>
      <c r="G7" s="24"/>
      <c r="H7" s="25"/>
      <c r="I7" s="26"/>
      <c r="J7" s="41">
        <f>'Apr 20'!J8</f>
        <v>6088.21</v>
      </c>
      <c r="K7" s="28" t="s">
        <v>164</v>
      </c>
    </row>
    <row r="8" spans="2:11" x14ac:dyDescent="0.25">
      <c r="B8" s="22" t="s">
        <v>381</v>
      </c>
      <c r="C8" s="23"/>
      <c r="D8" s="22"/>
      <c r="E8" s="24"/>
      <c r="F8" s="22" t="s">
        <v>382</v>
      </c>
      <c r="G8" s="24" t="s">
        <v>383</v>
      </c>
      <c r="H8" s="25">
        <v>150</v>
      </c>
      <c r="I8" s="26"/>
      <c r="J8" s="41">
        <f>J7+H8-I8</f>
        <v>6238.21</v>
      </c>
      <c r="K8" s="28"/>
    </row>
    <row r="9" spans="2:11" x14ac:dyDescent="0.25">
      <c r="B9" s="22" t="s">
        <v>387</v>
      </c>
      <c r="C9" s="23"/>
      <c r="D9" s="22"/>
      <c r="E9" s="24"/>
      <c r="F9" s="22"/>
      <c r="G9" s="24"/>
      <c r="H9" s="25"/>
      <c r="I9" s="26"/>
      <c r="J9" s="41">
        <f>J8+H9-I9</f>
        <v>6238.21</v>
      </c>
      <c r="K9" s="28" t="s">
        <v>164</v>
      </c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J8</f>
        <v>6238.21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7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395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387</v>
      </c>
      <c r="C7" s="23"/>
      <c r="D7" s="22"/>
      <c r="E7" s="24"/>
      <c r="F7" s="22"/>
      <c r="G7" s="24"/>
      <c r="H7" s="25"/>
      <c r="I7" s="26"/>
      <c r="J7" s="41">
        <f>'June 20'!J8</f>
        <v>6238.21</v>
      </c>
      <c r="K7" s="28" t="s">
        <v>164</v>
      </c>
    </row>
    <row r="8" spans="2:11" x14ac:dyDescent="0.25">
      <c r="B8" s="22" t="s">
        <v>388</v>
      </c>
      <c r="C8" s="23"/>
      <c r="D8" s="22"/>
      <c r="E8" s="24" t="s">
        <v>384</v>
      </c>
      <c r="F8" s="22"/>
      <c r="G8" s="24" t="s">
        <v>385</v>
      </c>
      <c r="H8" s="25"/>
      <c r="I8" s="26">
        <v>76.260000000000005</v>
      </c>
      <c r="J8" s="41">
        <f>J7+H8-I8</f>
        <v>6161.95</v>
      </c>
      <c r="K8" s="28"/>
    </row>
    <row r="9" spans="2:11" x14ac:dyDescent="0.25">
      <c r="B9" s="22" t="s">
        <v>388</v>
      </c>
      <c r="C9" s="23"/>
      <c r="D9" s="22"/>
      <c r="E9" s="24"/>
      <c r="F9" s="22"/>
      <c r="G9" s="24" t="s">
        <v>386</v>
      </c>
      <c r="H9" s="25"/>
      <c r="I9" s="26">
        <v>4.2699999999999996</v>
      </c>
      <c r="J9" s="41">
        <f t="shared" ref="J9:J10" si="0">J8+H9-I9</f>
        <v>6157.6799999999994</v>
      </c>
      <c r="K9" s="28"/>
    </row>
    <row r="10" spans="2:11" x14ac:dyDescent="0.25">
      <c r="B10" s="22" t="s">
        <v>397</v>
      </c>
      <c r="C10" s="23"/>
      <c r="D10" s="22"/>
      <c r="E10" s="24"/>
      <c r="F10" s="22"/>
      <c r="G10" s="24"/>
      <c r="H10" s="25"/>
      <c r="I10" s="26"/>
      <c r="J10" s="41">
        <f t="shared" si="0"/>
        <v>6157.6799999999994</v>
      </c>
      <c r="K10" s="28" t="s">
        <v>164</v>
      </c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I15" s="43"/>
    </row>
    <row r="16" spans="2:11" x14ac:dyDescent="0.25">
      <c r="I16" s="25"/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0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J10</f>
        <v>6157.6799999999994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7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42578125" style="17" customWidth="1"/>
    <col min="6" max="6" width="9" style="17" customWidth="1"/>
    <col min="7" max="7" width="48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396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397</v>
      </c>
      <c r="C7" s="23"/>
      <c r="D7" s="22"/>
      <c r="E7" s="24"/>
      <c r="F7" s="22"/>
      <c r="G7" s="24"/>
      <c r="H7" s="25"/>
      <c r="I7" s="26"/>
      <c r="J7" s="41">
        <f>'July 20'!J9</f>
        <v>6157.6799999999994</v>
      </c>
      <c r="K7" s="28" t="s">
        <v>164</v>
      </c>
    </row>
    <row r="8" spans="2:11" x14ac:dyDescent="0.25">
      <c r="B8" s="22" t="s">
        <v>398</v>
      </c>
      <c r="C8" s="23"/>
      <c r="D8" s="22"/>
      <c r="E8" s="24" t="s">
        <v>111</v>
      </c>
      <c r="F8" s="22"/>
      <c r="G8" s="24" t="s">
        <v>399</v>
      </c>
      <c r="H8" s="25"/>
      <c r="I8" s="26">
        <v>193.34</v>
      </c>
      <c r="J8" s="41">
        <f>J7+H8-I8</f>
        <v>5964.3399999999992</v>
      </c>
      <c r="K8" s="28"/>
    </row>
    <row r="9" spans="2:11" x14ac:dyDescent="0.25">
      <c r="B9" s="22" t="s">
        <v>398</v>
      </c>
      <c r="C9" s="23"/>
      <c r="D9" s="22"/>
      <c r="E9" s="24" t="s">
        <v>111</v>
      </c>
      <c r="F9" s="22"/>
      <c r="G9" s="24" t="s">
        <v>399</v>
      </c>
      <c r="H9" s="25"/>
      <c r="I9" s="26">
        <v>138.72999999999999</v>
      </c>
      <c r="J9" s="41">
        <f t="shared" ref="J9:J10" si="0">J8+H9-I9</f>
        <v>5825.61</v>
      </c>
      <c r="K9" s="28"/>
    </row>
    <row r="10" spans="2:11" x14ac:dyDescent="0.25">
      <c r="B10" s="22" t="s">
        <v>401</v>
      </c>
      <c r="C10" s="23"/>
      <c r="D10" s="22"/>
      <c r="E10" s="24"/>
      <c r="F10" s="22"/>
      <c r="G10" s="24"/>
      <c r="H10" s="25"/>
      <c r="I10" s="26"/>
      <c r="J10" s="41">
        <f t="shared" si="0"/>
        <v>5825.61</v>
      </c>
      <c r="K10" s="28" t="s">
        <v>164</v>
      </c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135"/>
      <c r="K11" s="28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I15" s="43"/>
    </row>
    <row r="16" spans="2:11" x14ac:dyDescent="0.25">
      <c r="I16" s="25"/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0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J10</f>
        <v>5825.61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G8" sqref="G8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42578125" style="17" customWidth="1"/>
    <col min="6" max="6" width="9" style="17" customWidth="1"/>
    <col min="7" max="7" width="48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400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401</v>
      </c>
      <c r="C7" s="23"/>
      <c r="D7" s="22"/>
      <c r="E7" s="24"/>
      <c r="F7" s="22"/>
      <c r="G7" s="24"/>
      <c r="H7" s="25"/>
      <c r="I7" s="26"/>
      <c r="J7" s="41">
        <f>'August 20'!J9</f>
        <v>5825.61</v>
      </c>
      <c r="K7" s="28" t="s">
        <v>164</v>
      </c>
    </row>
    <row r="8" spans="2:11" x14ac:dyDescent="0.25">
      <c r="B8" s="22" t="s">
        <v>402</v>
      </c>
      <c r="C8" s="23"/>
      <c r="D8" s="22"/>
      <c r="E8" s="24"/>
      <c r="F8" s="22"/>
      <c r="G8" s="24" t="s">
        <v>403</v>
      </c>
      <c r="H8" s="25"/>
      <c r="I8" s="26">
        <v>426.88</v>
      </c>
      <c r="J8" s="41">
        <f>J7+H8-I8</f>
        <v>5398.73</v>
      </c>
      <c r="K8" s="28"/>
    </row>
    <row r="9" spans="2:11" x14ac:dyDescent="0.25">
      <c r="B9" s="22" t="s">
        <v>405</v>
      </c>
      <c r="C9" s="23"/>
      <c r="D9" s="22"/>
      <c r="E9" s="24"/>
      <c r="F9" s="22"/>
      <c r="G9" s="24"/>
      <c r="H9" s="25"/>
      <c r="I9" s="26"/>
      <c r="J9" s="41">
        <f>J8+H9-I9</f>
        <v>5398.73</v>
      </c>
      <c r="K9" s="28" t="s">
        <v>164</v>
      </c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J9</f>
        <v>5398.73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7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42578125" style="17" customWidth="1"/>
    <col min="6" max="6" width="9" style="17" customWidth="1"/>
    <col min="7" max="7" width="48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404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405</v>
      </c>
      <c r="C7" s="23"/>
      <c r="D7" s="22"/>
      <c r="E7" s="24"/>
      <c r="F7" s="22"/>
      <c r="G7" s="24"/>
      <c r="H7" s="25"/>
      <c r="I7" s="26"/>
      <c r="J7" s="41">
        <f>'Sept 20'!J8</f>
        <v>5398.73</v>
      </c>
      <c r="K7" s="28" t="s">
        <v>164</v>
      </c>
    </row>
    <row r="8" spans="2:11" x14ac:dyDescent="0.25">
      <c r="B8" s="22" t="s">
        <v>406</v>
      </c>
      <c r="C8" s="23"/>
      <c r="D8" s="22"/>
      <c r="E8" s="24"/>
      <c r="F8" s="22"/>
      <c r="G8" s="24" t="s">
        <v>386</v>
      </c>
      <c r="H8" s="25"/>
      <c r="I8" s="26">
        <v>4.96</v>
      </c>
      <c r="J8" s="41">
        <f>J7+H8-I8</f>
        <v>5393.7699999999995</v>
      </c>
      <c r="K8" s="28"/>
    </row>
    <row r="9" spans="2:11" x14ac:dyDescent="0.25">
      <c r="B9" s="22" t="s">
        <v>407</v>
      </c>
      <c r="C9" s="23"/>
      <c r="D9" s="22"/>
      <c r="E9" s="24"/>
      <c r="F9" s="22" t="s">
        <v>408</v>
      </c>
      <c r="G9" s="24" t="s">
        <v>409</v>
      </c>
      <c r="H9" s="25">
        <v>150</v>
      </c>
      <c r="I9" s="26"/>
      <c r="J9" s="41">
        <f>J8+H9-I9</f>
        <v>5543.7699999999995</v>
      </c>
      <c r="K9" s="28"/>
    </row>
    <row r="10" spans="2:11" x14ac:dyDescent="0.25">
      <c r="B10" s="22" t="s">
        <v>411</v>
      </c>
      <c r="C10" s="23"/>
      <c r="D10" s="22"/>
      <c r="E10" s="24"/>
      <c r="F10" s="22"/>
      <c r="G10" s="24"/>
      <c r="H10" s="25"/>
      <c r="I10" s="26"/>
      <c r="J10" s="41">
        <f>J9+H10-I10</f>
        <v>5543.7699999999995</v>
      </c>
      <c r="K10" s="28" t="s">
        <v>164</v>
      </c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I15" s="43"/>
    </row>
    <row r="16" spans="2:11" x14ac:dyDescent="0.25">
      <c r="I16" s="25"/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0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J10</f>
        <v>5543.7699999999995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42578125" style="17" customWidth="1"/>
    <col min="6" max="6" width="9" style="17" customWidth="1"/>
    <col min="7" max="7" width="48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410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411</v>
      </c>
      <c r="C7" s="23"/>
      <c r="D7" s="22"/>
      <c r="E7" s="24"/>
      <c r="F7" s="22"/>
      <c r="G7" s="24"/>
      <c r="H7" s="25"/>
      <c r="I7" s="26"/>
      <c r="J7" s="41">
        <f>'Oct 20'!J9</f>
        <v>5543.7699999999995</v>
      </c>
      <c r="K7" s="28" t="s">
        <v>164</v>
      </c>
    </row>
    <row r="8" spans="2:11" x14ac:dyDescent="0.25">
      <c r="B8" s="22" t="s">
        <v>412</v>
      </c>
      <c r="C8" s="23"/>
      <c r="D8" s="22"/>
      <c r="E8" s="24" t="s">
        <v>111</v>
      </c>
      <c r="F8" s="22"/>
      <c r="G8" s="24" t="s">
        <v>399</v>
      </c>
      <c r="H8" s="25"/>
      <c r="I8" s="26">
        <v>120</v>
      </c>
      <c r="J8" s="41">
        <f>J7+H8-I8</f>
        <v>5423.7699999999995</v>
      </c>
      <c r="K8" s="28"/>
    </row>
    <row r="9" spans="2:11" x14ac:dyDescent="0.25">
      <c r="B9" s="22" t="s">
        <v>414</v>
      </c>
      <c r="C9" s="23"/>
      <c r="D9" s="22"/>
      <c r="E9" s="24"/>
      <c r="F9" s="22"/>
      <c r="G9" s="24"/>
      <c r="H9" s="25"/>
      <c r="I9" s="26"/>
      <c r="J9" s="41">
        <f>J8+H9-I9</f>
        <v>5423.7699999999995</v>
      </c>
      <c r="K9" s="28" t="s">
        <v>164</v>
      </c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J9</f>
        <v>5423.7699999999995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5"/>
  <sheetViews>
    <sheetView tabSelected="1"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A3" sqref="A3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42578125" style="17" customWidth="1"/>
    <col min="6" max="6" width="9" style="17" customWidth="1"/>
    <col min="7" max="7" width="48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413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414</v>
      </c>
      <c r="C7" s="23"/>
      <c r="D7" s="22"/>
      <c r="E7" s="24"/>
      <c r="F7" s="22"/>
      <c r="G7" s="24"/>
      <c r="H7" s="25"/>
      <c r="I7" s="26"/>
      <c r="J7" s="41">
        <f>'Nov 20'!J8</f>
        <v>5423.7699999999995</v>
      </c>
      <c r="K7" s="28" t="s">
        <v>164</v>
      </c>
    </row>
    <row r="8" spans="2:11" x14ac:dyDescent="0.25">
      <c r="B8" s="22" t="s">
        <v>415</v>
      </c>
      <c r="C8" s="23"/>
      <c r="D8" s="22"/>
      <c r="E8" s="24"/>
      <c r="F8" s="22"/>
      <c r="G8" s="24"/>
      <c r="H8" s="25"/>
      <c r="I8" s="26"/>
      <c r="J8" s="41">
        <f>J7+H8-I8</f>
        <v>5423.7699999999995</v>
      </c>
      <c r="K8" s="28" t="s">
        <v>164</v>
      </c>
    </row>
    <row r="9" spans="2:11" x14ac:dyDescent="0.25">
      <c r="B9" s="24"/>
      <c r="C9" s="23"/>
      <c r="D9" s="24"/>
      <c r="E9" s="24"/>
      <c r="F9" s="24"/>
      <c r="G9" s="24"/>
      <c r="H9" s="26"/>
      <c r="I9" s="26"/>
      <c r="J9" s="26"/>
      <c r="K9" s="24"/>
    </row>
    <row r="10" spans="2:11" x14ac:dyDescent="0.25">
      <c r="B10" s="29" t="s">
        <v>46</v>
      </c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H11" s="30"/>
      <c r="I11" s="30"/>
      <c r="J11" s="30"/>
    </row>
    <row r="12" spans="2:11" x14ac:dyDescent="0.25">
      <c r="B12" s="15" t="s">
        <v>47</v>
      </c>
    </row>
    <row r="13" spans="2:11" x14ac:dyDescent="0.25">
      <c r="I13" s="43"/>
    </row>
    <row r="14" spans="2:11" x14ac:dyDescent="0.25">
      <c r="I14" s="25"/>
    </row>
    <row r="15" spans="2:11" x14ac:dyDescent="0.25">
      <c r="B15" s="15" t="s">
        <v>50</v>
      </c>
      <c r="I15" s="25"/>
    </row>
    <row r="16" spans="2:11" x14ac:dyDescent="0.25">
      <c r="I16" s="25"/>
    </row>
    <row r="17" spans="2:10" x14ac:dyDescent="0.25">
      <c r="I17" s="44"/>
    </row>
    <row r="18" spans="2:10" x14ac:dyDescent="0.25">
      <c r="I18" s="45">
        <f>SUM(I13:I17)</f>
        <v>0</v>
      </c>
    </row>
    <row r="19" spans="2:10" x14ac:dyDescent="0.25">
      <c r="B19" s="15" t="s">
        <v>52</v>
      </c>
    </row>
    <row r="20" spans="2:10" x14ac:dyDescent="0.25">
      <c r="B20" s="24"/>
      <c r="C20" s="23"/>
      <c r="H20" s="32"/>
      <c r="I20" s="78"/>
    </row>
    <row r="21" spans="2:10" x14ac:dyDescent="0.25">
      <c r="B21" s="33" t="s">
        <v>54</v>
      </c>
      <c r="C21" s="23"/>
      <c r="H21" s="32"/>
    </row>
    <row r="22" spans="2:10" x14ac:dyDescent="0.25">
      <c r="B22" s="33"/>
      <c r="C22" s="23"/>
      <c r="H22" s="32"/>
    </row>
    <row r="23" spans="2:10" x14ac:dyDescent="0.25">
      <c r="B23" s="35" t="s">
        <v>55</v>
      </c>
      <c r="C23" s="36"/>
      <c r="D23" s="37"/>
      <c r="E23" s="37"/>
      <c r="F23" s="37"/>
      <c r="G23" s="37"/>
      <c r="H23" s="37"/>
      <c r="I23" s="37"/>
      <c r="J23" s="38">
        <f>J8</f>
        <v>5423.7699999999995</v>
      </c>
    </row>
    <row r="25" spans="2:10" x14ac:dyDescent="0.25">
      <c r="I25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2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G10" sqref="G10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19.7109375" style="17" customWidth="1"/>
    <col min="6" max="6" width="16.5703125" style="17" customWidth="1"/>
    <col min="7" max="7" width="38.8554687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25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36</v>
      </c>
      <c r="C7" s="23"/>
      <c r="D7" s="22"/>
      <c r="E7" s="24"/>
      <c r="F7" s="22"/>
      <c r="G7" s="24" t="s">
        <v>37</v>
      </c>
      <c r="H7" s="25"/>
      <c r="I7" s="26"/>
      <c r="J7" s="27">
        <v>5011.6000000000004</v>
      </c>
      <c r="K7" s="28" t="s">
        <v>38</v>
      </c>
    </row>
    <row r="8" spans="2:11" x14ac:dyDescent="0.25">
      <c r="B8" s="22" t="s">
        <v>39</v>
      </c>
      <c r="C8" s="23"/>
      <c r="D8" s="22">
        <v>323</v>
      </c>
      <c r="E8" s="24"/>
      <c r="F8" s="22"/>
      <c r="G8" s="24" t="s">
        <v>40</v>
      </c>
      <c r="H8" s="25"/>
      <c r="I8" s="39">
        <v>1802</v>
      </c>
      <c r="J8" s="27">
        <f>J7+H8-I8</f>
        <v>3209.6000000000004</v>
      </c>
      <c r="K8" s="24"/>
    </row>
    <row r="9" spans="2:11" x14ac:dyDescent="0.25">
      <c r="B9" s="22" t="s">
        <v>39</v>
      </c>
      <c r="C9" s="23"/>
      <c r="D9" s="22">
        <v>324</v>
      </c>
      <c r="E9" s="24"/>
      <c r="F9" s="22"/>
      <c r="G9" s="24" t="s">
        <v>41</v>
      </c>
      <c r="H9" s="25"/>
      <c r="I9" s="39">
        <v>76.260000000000005</v>
      </c>
      <c r="J9" s="27">
        <f t="shared" ref="J9:J11" si="0">J8+H9-I9</f>
        <v>3133.34</v>
      </c>
      <c r="K9" s="24"/>
    </row>
    <row r="10" spans="2:11" x14ac:dyDescent="0.25">
      <c r="B10" s="22" t="s">
        <v>42</v>
      </c>
      <c r="C10" s="23"/>
      <c r="D10" s="22">
        <v>325</v>
      </c>
      <c r="E10" s="24" t="s">
        <v>69</v>
      </c>
      <c r="F10" s="22"/>
      <c r="G10" s="24" t="s">
        <v>271</v>
      </c>
      <c r="H10" s="25"/>
      <c r="I10" s="39">
        <v>138.97</v>
      </c>
      <c r="J10" s="27">
        <f t="shared" si="0"/>
        <v>2994.3700000000003</v>
      </c>
      <c r="K10" s="24"/>
    </row>
    <row r="11" spans="2:11" x14ac:dyDescent="0.25">
      <c r="B11" s="22" t="s">
        <v>43</v>
      </c>
      <c r="C11" s="23"/>
      <c r="D11" s="22"/>
      <c r="E11" s="24"/>
      <c r="F11" s="22" t="s">
        <v>44</v>
      </c>
      <c r="G11" s="24" t="s">
        <v>45</v>
      </c>
      <c r="H11" s="40">
        <v>150</v>
      </c>
      <c r="I11" s="26"/>
      <c r="J11" s="27">
        <f t="shared" si="0"/>
        <v>3144.3700000000003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27"/>
      <c r="K12" s="24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H15" s="30"/>
      <c r="I15" s="30"/>
      <c r="J15" s="30"/>
    </row>
    <row r="16" spans="2:11" x14ac:dyDescent="0.25">
      <c r="B16" s="15" t="s">
        <v>47</v>
      </c>
    </row>
    <row r="17" spans="2:10" x14ac:dyDescent="0.25">
      <c r="B17" s="17" t="s">
        <v>48</v>
      </c>
      <c r="I17" s="30">
        <v>63.6</v>
      </c>
    </row>
    <row r="18" spans="2:10" x14ac:dyDescent="0.25">
      <c r="B18" s="17" t="s">
        <v>49</v>
      </c>
      <c r="I18" s="30">
        <v>225</v>
      </c>
    </row>
    <row r="19" spans="2:10" x14ac:dyDescent="0.25">
      <c r="B19" s="15" t="s">
        <v>50</v>
      </c>
      <c r="I19" s="30"/>
    </row>
    <row r="20" spans="2:10" x14ac:dyDescent="0.25">
      <c r="B20" s="17" t="s">
        <v>51</v>
      </c>
      <c r="I20" s="30">
        <v>348.12</v>
      </c>
    </row>
    <row r="21" spans="2:10" x14ac:dyDescent="0.25">
      <c r="I21" s="30"/>
    </row>
    <row r="22" spans="2:10" x14ac:dyDescent="0.25">
      <c r="I22" s="31">
        <f>SUM(I17:I21)</f>
        <v>636.72</v>
      </c>
    </row>
    <row r="23" spans="2:10" x14ac:dyDescent="0.25">
      <c r="B23" s="15" t="s">
        <v>52</v>
      </c>
    </row>
    <row r="24" spans="2:10" x14ac:dyDescent="0.25">
      <c r="B24" s="24" t="s">
        <v>53</v>
      </c>
      <c r="C24" s="23"/>
      <c r="H24" s="32">
        <v>0</v>
      </c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J11-I22+H24+H26</f>
        <v>2507.6500000000005</v>
      </c>
    </row>
    <row r="30" spans="2:10" x14ac:dyDescent="0.25">
      <c r="I30" s="30"/>
    </row>
    <row r="31" spans="2:10" x14ac:dyDescent="0.25">
      <c r="I31" s="30"/>
    </row>
    <row r="32" spans="2:10" x14ac:dyDescent="0.25">
      <c r="I32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E10" activePane="bottomRight" state="frozen"/>
      <selection activeCell="A3" sqref="A3"/>
      <selection pane="topRight" activeCell="E3" sqref="E3"/>
      <selection pane="bottomLeft" activeCell="A8" sqref="A8"/>
      <selection pane="bottomRight" activeCell="I8" sqref="I8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57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58</v>
      </c>
      <c r="C7" s="23"/>
      <c r="D7" s="22"/>
      <c r="E7" s="24"/>
      <c r="F7" s="22"/>
      <c r="G7" s="24" t="s">
        <v>59</v>
      </c>
      <c r="H7" s="25"/>
      <c r="I7" s="26"/>
      <c r="J7" s="27">
        <v>3144.37</v>
      </c>
      <c r="K7" s="28" t="s">
        <v>38</v>
      </c>
    </row>
    <row r="8" spans="2:11" x14ac:dyDescent="0.25">
      <c r="B8" s="22" t="s">
        <v>60</v>
      </c>
      <c r="C8" s="23"/>
      <c r="D8" s="22">
        <v>326</v>
      </c>
      <c r="E8" s="24" t="s">
        <v>61</v>
      </c>
      <c r="F8" s="22"/>
      <c r="G8" s="24" t="s">
        <v>62</v>
      </c>
      <c r="H8" s="25"/>
      <c r="I8" s="39">
        <v>348.12</v>
      </c>
      <c r="J8" s="27">
        <f>J7+H8-I8</f>
        <v>2796.25</v>
      </c>
      <c r="K8" s="28" t="s">
        <v>38</v>
      </c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27"/>
      <c r="K9" s="24"/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B14" s="17" t="s">
        <v>63</v>
      </c>
      <c r="I14" s="30">
        <v>63.6</v>
      </c>
    </row>
    <row r="15" spans="2:11" x14ac:dyDescent="0.25">
      <c r="B15" s="17" t="s">
        <v>49</v>
      </c>
      <c r="I15" s="30">
        <v>225</v>
      </c>
    </row>
    <row r="16" spans="2:11" x14ac:dyDescent="0.25">
      <c r="B16" s="15" t="s">
        <v>50</v>
      </c>
      <c r="I16" s="30"/>
    </row>
    <row r="17" spans="2:10" x14ac:dyDescent="0.25">
      <c r="I17" s="30"/>
    </row>
    <row r="18" spans="2:10" x14ac:dyDescent="0.25">
      <c r="I18" s="30"/>
    </row>
    <row r="19" spans="2:10" x14ac:dyDescent="0.25">
      <c r="I19" s="31">
        <f>SUM(I14:I18)</f>
        <v>288.60000000000002</v>
      </c>
    </row>
    <row r="20" spans="2:10" x14ac:dyDescent="0.25">
      <c r="B20" s="15" t="s">
        <v>52</v>
      </c>
    </row>
    <row r="21" spans="2:10" x14ac:dyDescent="0.25">
      <c r="B21" s="24" t="s">
        <v>64</v>
      </c>
      <c r="C21" s="23"/>
      <c r="H21" s="32">
        <v>30</v>
      </c>
    </row>
    <row r="22" spans="2:10" x14ac:dyDescent="0.25">
      <c r="B22" s="33" t="s">
        <v>54</v>
      </c>
      <c r="C22" s="23"/>
      <c r="H22" s="32"/>
    </row>
    <row r="23" spans="2:10" x14ac:dyDescent="0.25">
      <c r="B23" s="34"/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J8-I19+H21+H23</f>
        <v>2537.65</v>
      </c>
    </row>
    <row r="27" spans="2:10" x14ac:dyDescent="0.25">
      <c r="I27" s="30"/>
    </row>
    <row r="28" spans="2:10" x14ac:dyDescent="0.25">
      <c r="I28" s="30"/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4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E3" sqref="E3"/>
      <selection pane="bottomLeft" activeCell="A8" sqref="A8"/>
      <selection pane="bottomRight" activeCell="I9" sqref="I9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65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60</v>
      </c>
      <c r="C7" s="23"/>
      <c r="D7" s="22"/>
      <c r="E7" s="24"/>
      <c r="F7" s="22"/>
      <c r="G7" s="24"/>
      <c r="H7" s="25"/>
      <c r="I7" s="26"/>
      <c r="J7" s="27">
        <v>2796.25</v>
      </c>
      <c r="K7" s="28" t="s">
        <v>38</v>
      </c>
    </row>
    <row r="8" spans="2:11" x14ac:dyDescent="0.25">
      <c r="B8" s="22" t="s">
        <v>66</v>
      </c>
      <c r="C8" s="23"/>
      <c r="D8" s="22"/>
      <c r="E8" s="24"/>
      <c r="F8" s="22"/>
      <c r="G8" s="24" t="s">
        <v>67</v>
      </c>
      <c r="H8" s="25"/>
      <c r="I8" s="39">
        <v>6.36</v>
      </c>
      <c r="J8" s="27">
        <f t="shared" ref="J8:J11" si="0">J7+H8-I8</f>
        <v>2789.89</v>
      </c>
      <c r="K8" s="24"/>
    </row>
    <row r="9" spans="2:11" x14ac:dyDescent="0.25">
      <c r="B9" s="22" t="s">
        <v>68</v>
      </c>
      <c r="C9" s="23"/>
      <c r="D9" s="22">
        <v>327</v>
      </c>
      <c r="E9" s="24" t="s">
        <v>69</v>
      </c>
      <c r="F9" s="22"/>
      <c r="G9" s="24" t="s">
        <v>70</v>
      </c>
      <c r="H9" s="25"/>
      <c r="I9" s="39">
        <v>55</v>
      </c>
      <c r="J9" s="27">
        <f t="shared" si="0"/>
        <v>2734.89</v>
      </c>
      <c r="K9" s="24"/>
    </row>
    <row r="10" spans="2:11" x14ac:dyDescent="0.25">
      <c r="B10" s="22" t="s">
        <v>71</v>
      </c>
      <c r="C10" s="23"/>
      <c r="D10" s="22">
        <v>329</v>
      </c>
      <c r="E10" s="24" t="s">
        <v>72</v>
      </c>
      <c r="F10" s="22"/>
      <c r="G10" s="24" t="s">
        <v>73</v>
      </c>
      <c r="H10" s="25"/>
      <c r="I10" s="39">
        <v>150</v>
      </c>
      <c r="J10" s="27">
        <f t="shared" si="0"/>
        <v>2584.89</v>
      </c>
      <c r="K10" s="24"/>
    </row>
    <row r="11" spans="2:11" x14ac:dyDescent="0.25">
      <c r="B11" s="22" t="s">
        <v>74</v>
      </c>
      <c r="C11" s="23"/>
      <c r="D11" s="22">
        <v>330</v>
      </c>
      <c r="E11" s="24" t="s">
        <v>75</v>
      </c>
      <c r="F11" s="22"/>
      <c r="G11" s="24" t="s">
        <v>75</v>
      </c>
      <c r="H11" s="25"/>
      <c r="I11" s="39">
        <v>300</v>
      </c>
      <c r="J11" s="41">
        <f t="shared" si="0"/>
        <v>2284.89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27"/>
      <c r="K12" s="24"/>
    </row>
    <row r="13" spans="2:11" x14ac:dyDescent="0.25">
      <c r="B13" s="24"/>
      <c r="C13" s="23"/>
      <c r="D13" s="24"/>
      <c r="E13" s="24"/>
      <c r="F13" s="24"/>
      <c r="G13" s="24"/>
      <c r="H13" s="26"/>
      <c r="I13" s="39" t="s">
        <v>159</v>
      </c>
      <c r="J13" s="87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39" t="s">
        <v>17</v>
      </c>
      <c r="J14" s="39">
        <f>34</f>
        <v>34</v>
      </c>
      <c r="K14" s="24"/>
    </row>
    <row r="15" spans="2:11" x14ac:dyDescent="0.25">
      <c r="H15" s="30"/>
      <c r="I15" s="88" t="s">
        <v>160</v>
      </c>
      <c r="J15" s="39">
        <v>21</v>
      </c>
    </row>
    <row r="16" spans="2:11" x14ac:dyDescent="0.25">
      <c r="B16" s="15" t="s">
        <v>47</v>
      </c>
    </row>
    <row r="17" spans="2:10" x14ac:dyDescent="0.25">
      <c r="B17" s="17" t="s">
        <v>63</v>
      </c>
      <c r="I17" s="30">
        <v>63.6</v>
      </c>
    </row>
    <row r="18" spans="2:10" x14ac:dyDescent="0.25">
      <c r="B18" s="17" t="s">
        <v>49</v>
      </c>
      <c r="I18" s="30">
        <v>225</v>
      </c>
    </row>
    <row r="19" spans="2:10" x14ac:dyDescent="0.25">
      <c r="B19" s="17" t="s">
        <v>76</v>
      </c>
      <c r="I19" s="30">
        <v>36</v>
      </c>
    </row>
    <row r="20" spans="2:10" x14ac:dyDescent="0.25">
      <c r="B20" s="17" t="s">
        <v>77</v>
      </c>
      <c r="I20" s="30">
        <f>230</f>
        <v>230</v>
      </c>
    </row>
    <row r="21" spans="2:10" x14ac:dyDescent="0.25">
      <c r="B21" s="15" t="s">
        <v>50</v>
      </c>
      <c r="I21" s="30"/>
    </row>
    <row r="22" spans="2:10" x14ac:dyDescent="0.25">
      <c r="I22" s="30"/>
    </row>
    <row r="23" spans="2:10" x14ac:dyDescent="0.25">
      <c r="I23" s="30"/>
    </row>
    <row r="24" spans="2:10" x14ac:dyDescent="0.25">
      <c r="I24" s="31">
        <f>SUM(I17:I23)</f>
        <v>554.6</v>
      </c>
    </row>
    <row r="25" spans="2:10" x14ac:dyDescent="0.25">
      <c r="B25" s="15" t="s">
        <v>52</v>
      </c>
    </row>
    <row r="26" spans="2:10" x14ac:dyDescent="0.25">
      <c r="B26" s="24" t="s">
        <v>78</v>
      </c>
      <c r="C26" s="23"/>
      <c r="H26" s="32">
        <v>2155</v>
      </c>
    </row>
    <row r="27" spans="2:10" x14ac:dyDescent="0.25">
      <c r="B27" s="33" t="s">
        <v>54</v>
      </c>
      <c r="C27" s="23"/>
      <c r="H27" s="32"/>
    </row>
    <row r="28" spans="2:10" x14ac:dyDescent="0.25">
      <c r="B28" s="34"/>
      <c r="C28" s="23"/>
      <c r="H28" s="32"/>
    </row>
    <row r="29" spans="2:10" x14ac:dyDescent="0.25">
      <c r="B29" s="33"/>
      <c r="C29" s="23"/>
      <c r="H29" s="32"/>
    </row>
    <row r="30" spans="2:10" x14ac:dyDescent="0.25">
      <c r="B30" s="35" t="s">
        <v>55</v>
      </c>
      <c r="C30" s="36"/>
      <c r="D30" s="37"/>
      <c r="E30" s="37"/>
      <c r="F30" s="37"/>
      <c r="G30" s="37"/>
      <c r="H30" s="37"/>
      <c r="I30" s="37"/>
      <c r="J30" s="38">
        <f>J11-I24+H26+H28</f>
        <v>3885.29</v>
      </c>
    </row>
    <row r="32" spans="2:10" x14ac:dyDescent="0.25">
      <c r="B32" s="15" t="s">
        <v>79</v>
      </c>
      <c r="I32" s="30"/>
      <c r="J32" s="42">
        <v>5257</v>
      </c>
    </row>
    <row r="33" spans="2:10" x14ac:dyDescent="0.25">
      <c r="B33" s="15" t="s">
        <v>80</v>
      </c>
      <c r="I33" s="30"/>
      <c r="J33" s="30">
        <f>J32-J30</f>
        <v>1371.71</v>
      </c>
    </row>
    <row r="34" spans="2:10" x14ac:dyDescent="0.25">
      <c r="I34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2"/>
  <sheetViews>
    <sheetView topLeftCell="A3" zoomScale="110" zoomScaleNormal="110" zoomScaleSheetLayoutView="110" workbookViewId="0">
      <pane xSplit="4" ySplit="4" topLeftCell="E13" activePane="bottomRight" state="frozen"/>
      <selection activeCell="G9" sqref="G9"/>
      <selection pane="topRight" activeCell="G9" sqref="G9"/>
      <selection pane="bottomLeft" activeCell="G9" sqref="G9"/>
      <selection pane="bottomRight" activeCell="H11" sqref="H11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81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82</v>
      </c>
      <c r="C7" s="23"/>
      <c r="D7" s="22"/>
      <c r="E7" s="24"/>
      <c r="F7" s="22"/>
      <c r="G7" s="24"/>
      <c r="H7" s="25"/>
      <c r="I7" s="26"/>
      <c r="J7" s="41">
        <f>2284.45</f>
        <v>2284.4499999999998</v>
      </c>
      <c r="K7" s="28" t="s">
        <v>38</v>
      </c>
    </row>
    <row r="8" spans="2:11" x14ac:dyDescent="0.25">
      <c r="B8" s="22" t="s">
        <v>83</v>
      </c>
      <c r="C8" s="23"/>
      <c r="D8" s="22"/>
      <c r="E8" s="24"/>
      <c r="F8" s="22"/>
      <c r="G8" s="24" t="s">
        <v>117</v>
      </c>
      <c r="H8" s="40">
        <v>1084</v>
      </c>
      <c r="I8" s="26"/>
      <c r="J8" s="41">
        <f>J7+H8-I8</f>
        <v>3368.45</v>
      </c>
      <c r="K8" s="28"/>
    </row>
    <row r="9" spans="2:11" x14ac:dyDescent="0.25">
      <c r="B9" s="22" t="s">
        <v>84</v>
      </c>
      <c r="C9" s="23"/>
      <c r="D9" s="22">
        <v>331</v>
      </c>
      <c r="E9" s="24" t="s">
        <v>85</v>
      </c>
      <c r="F9" s="22"/>
      <c r="G9" s="24" t="s">
        <v>86</v>
      </c>
      <c r="H9" s="25"/>
      <c r="I9" s="39">
        <v>230</v>
      </c>
      <c r="J9" s="41">
        <f t="shared" ref="J9:J11" si="0">J8+H9-I9</f>
        <v>3138.45</v>
      </c>
      <c r="K9" s="28"/>
    </row>
    <row r="10" spans="2:11" x14ac:dyDescent="0.25">
      <c r="B10" s="22" t="s">
        <v>87</v>
      </c>
      <c r="C10" s="23"/>
      <c r="D10" s="22">
        <v>328</v>
      </c>
      <c r="E10" s="24" t="s">
        <v>88</v>
      </c>
      <c r="F10" s="22"/>
      <c r="G10" s="24" t="s">
        <v>89</v>
      </c>
      <c r="H10" s="25"/>
      <c r="I10" s="39">
        <v>36</v>
      </c>
      <c r="J10" s="41">
        <f t="shared" si="0"/>
        <v>3102.45</v>
      </c>
      <c r="K10" s="28"/>
    </row>
    <row r="11" spans="2:11" x14ac:dyDescent="0.25">
      <c r="B11" s="22" t="s">
        <v>90</v>
      </c>
      <c r="C11" s="23"/>
      <c r="D11" s="22"/>
      <c r="E11" s="24"/>
      <c r="F11" s="22"/>
      <c r="G11" s="24" t="s">
        <v>91</v>
      </c>
      <c r="H11" s="40">
        <v>2155</v>
      </c>
      <c r="I11" s="26"/>
      <c r="J11" s="41">
        <f t="shared" si="0"/>
        <v>5257.45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H15" s="30"/>
      <c r="I15" s="30"/>
      <c r="J15" s="30"/>
    </row>
    <row r="16" spans="2:11" x14ac:dyDescent="0.25">
      <c r="B16" s="15" t="s">
        <v>47</v>
      </c>
    </row>
    <row r="17" spans="2:10" x14ac:dyDescent="0.25">
      <c r="B17" s="17" t="s">
        <v>63</v>
      </c>
      <c r="I17" s="43">
        <v>63.6</v>
      </c>
    </row>
    <row r="18" spans="2:10" x14ac:dyDescent="0.25">
      <c r="B18" s="17" t="s">
        <v>49</v>
      </c>
      <c r="I18" s="25">
        <v>225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SUM(I17:I21)</f>
        <v>288.60000000000002</v>
      </c>
    </row>
    <row r="23" spans="2:10" x14ac:dyDescent="0.25">
      <c r="B23" s="15" t="s">
        <v>52</v>
      </c>
    </row>
    <row r="24" spans="2:10" x14ac:dyDescent="0.25">
      <c r="B24" s="24" t="s">
        <v>92</v>
      </c>
      <c r="C24" s="23"/>
      <c r="H24" s="32"/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J11-I22+I24</f>
        <v>4968.8499999999995</v>
      </c>
    </row>
    <row r="30" spans="2:10" x14ac:dyDescent="0.25">
      <c r="B30" s="15" t="s">
        <v>79</v>
      </c>
      <c r="I30" s="30"/>
      <c r="J30" s="42" t="s">
        <v>92</v>
      </c>
    </row>
    <row r="31" spans="2:10" x14ac:dyDescent="0.25">
      <c r="B31" s="15" t="s">
        <v>80</v>
      </c>
      <c r="I31" s="30"/>
      <c r="J31" s="30" t="s">
        <v>92</v>
      </c>
    </row>
    <row r="32" spans="2:10" x14ac:dyDescent="0.25">
      <c r="I32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18"/>
  <sheetViews>
    <sheetView zoomScale="90" zoomScaleNormal="90" workbookViewId="0">
      <pane xSplit="3" ySplit="2" topLeftCell="D3" activePane="bottomRight" state="frozen"/>
      <selection activeCell="G9" sqref="G9"/>
      <selection pane="topRight" activeCell="G9" sqref="G9"/>
      <selection pane="bottomLeft" activeCell="G9" sqref="G9"/>
      <selection pane="bottomRight" activeCell="D7" sqref="D7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8" width="9.140625" style="15"/>
    <col min="9" max="9" width="11.140625" style="15" customWidth="1"/>
    <col min="10" max="16384" width="9.140625" style="15"/>
  </cols>
  <sheetData>
    <row r="2" spans="2:9" x14ac:dyDescent="0.25">
      <c r="B2" s="2" t="s">
        <v>93</v>
      </c>
    </row>
    <row r="3" spans="2:9" x14ac:dyDescent="0.25">
      <c r="B3" s="47" t="s">
        <v>94</v>
      </c>
      <c r="C3" s="48"/>
      <c r="D3" s="74">
        <v>690</v>
      </c>
      <c r="E3" s="15" t="s">
        <v>95</v>
      </c>
    </row>
    <row r="4" spans="2:9" x14ac:dyDescent="0.25">
      <c r="B4" s="47" t="s">
        <v>96</v>
      </c>
      <c r="C4" s="48"/>
      <c r="D4" s="74">
        <v>30</v>
      </c>
    </row>
    <row r="5" spans="2:9" x14ac:dyDescent="0.25">
      <c r="B5" s="47" t="s">
        <v>107</v>
      </c>
      <c r="C5" s="48"/>
      <c r="D5" s="74">
        <f>62</f>
        <v>62</v>
      </c>
    </row>
    <row r="6" spans="2:9" x14ac:dyDescent="0.25">
      <c r="B6" s="47" t="s">
        <v>122</v>
      </c>
      <c r="C6" s="48"/>
      <c r="D6" s="74">
        <f>170-62</f>
        <v>108</v>
      </c>
    </row>
    <row r="7" spans="2:9" x14ac:dyDescent="0.25">
      <c r="B7" s="49" t="s">
        <v>97</v>
      </c>
      <c r="C7" s="50"/>
      <c r="D7" s="75">
        <v>1105</v>
      </c>
      <c r="E7" s="15" t="s">
        <v>98</v>
      </c>
    </row>
    <row r="8" spans="2:9" x14ac:dyDescent="0.25">
      <c r="B8" s="51" t="s">
        <v>99</v>
      </c>
      <c r="C8" s="33"/>
      <c r="D8" s="52"/>
      <c r="E8" s="15" t="s">
        <v>100</v>
      </c>
    </row>
    <row r="9" spans="2:9" x14ac:dyDescent="0.25">
      <c r="B9" s="53" t="s">
        <v>101</v>
      </c>
      <c r="C9" s="33"/>
      <c r="D9" s="76">
        <v>80</v>
      </c>
      <c r="E9" s="15" t="s">
        <v>107</v>
      </c>
    </row>
    <row r="10" spans="2:9" x14ac:dyDescent="0.25">
      <c r="B10" s="54" t="s">
        <v>102</v>
      </c>
      <c r="C10" s="55"/>
      <c r="D10" s="77">
        <v>80</v>
      </c>
      <c r="E10" s="15" t="s">
        <v>107</v>
      </c>
    </row>
    <row r="11" spans="2:9" x14ac:dyDescent="0.25">
      <c r="B11" s="56" t="s">
        <v>103</v>
      </c>
      <c r="C11" s="57"/>
      <c r="D11" s="58">
        <f>SUM(D3:D10)</f>
        <v>2155</v>
      </c>
    </row>
    <row r="12" spans="2:9" x14ac:dyDescent="0.25">
      <c r="B12" s="59" t="s">
        <v>104</v>
      </c>
      <c r="C12" s="50"/>
      <c r="D12" s="60"/>
    </row>
    <row r="13" spans="2:9" x14ac:dyDescent="0.25">
      <c r="B13" s="51" t="s">
        <v>105</v>
      </c>
      <c r="C13" s="33"/>
      <c r="D13" s="61">
        <f>D11-D9-D10</f>
        <v>1995</v>
      </c>
    </row>
    <row r="14" spans="2:9" x14ac:dyDescent="0.25">
      <c r="B14" s="62" t="s">
        <v>106</v>
      </c>
      <c r="C14" s="55"/>
      <c r="D14" s="63">
        <f>D9+D10</f>
        <v>160</v>
      </c>
    </row>
    <row r="16" spans="2:9" x14ac:dyDescent="0.25">
      <c r="E16" s="64">
        <v>50</v>
      </c>
      <c r="F16" s="65">
        <v>20</v>
      </c>
      <c r="G16" s="66">
        <v>10</v>
      </c>
      <c r="H16" s="65">
        <v>5</v>
      </c>
      <c r="I16" s="67"/>
    </row>
    <row r="17" spans="5:9" x14ac:dyDescent="0.25">
      <c r="E17" s="68">
        <v>17</v>
      </c>
      <c r="F17" s="68">
        <v>37</v>
      </c>
      <c r="G17" s="68">
        <v>32</v>
      </c>
      <c r="H17" s="68">
        <v>17</v>
      </c>
      <c r="I17" s="69"/>
    </row>
    <row r="18" spans="5:9" x14ac:dyDescent="0.25">
      <c r="E18" s="70">
        <f>E16*E17</f>
        <v>850</v>
      </c>
      <c r="F18" s="71">
        <f t="shared" ref="F18:H18" si="0">F16*F17</f>
        <v>740</v>
      </c>
      <c r="G18" s="72">
        <f t="shared" si="0"/>
        <v>320</v>
      </c>
      <c r="H18" s="71">
        <f t="shared" si="0"/>
        <v>85</v>
      </c>
      <c r="I18" s="73">
        <f>SUM(E18:H18)</f>
        <v>1995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E3" sqref="E3"/>
      <selection pane="bottomLeft" activeCell="A8" sqref="A8"/>
      <selection pane="bottomRight" activeCell="J10" sqref="J10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108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109</v>
      </c>
      <c r="C7" s="23"/>
      <c r="D7" s="22"/>
      <c r="E7" s="24"/>
      <c r="F7" s="22"/>
      <c r="G7" s="24"/>
      <c r="H7" s="25"/>
      <c r="I7" s="26"/>
      <c r="J7" s="41">
        <v>5257.45</v>
      </c>
      <c r="K7" s="28" t="s">
        <v>38</v>
      </c>
    </row>
    <row r="8" spans="2:11" x14ac:dyDescent="0.25">
      <c r="B8" s="22" t="s">
        <v>110</v>
      </c>
      <c r="C8" s="23"/>
      <c r="D8" s="22">
        <v>332</v>
      </c>
      <c r="E8" s="24" t="s">
        <v>111</v>
      </c>
      <c r="F8" s="22" t="s">
        <v>112</v>
      </c>
      <c r="G8" s="24" t="s">
        <v>113</v>
      </c>
      <c r="H8" s="25"/>
      <c r="I8" s="39">
        <v>354.6</v>
      </c>
      <c r="J8" s="41">
        <f>J7+H8-I8</f>
        <v>4902.8499999999995</v>
      </c>
      <c r="K8" s="28" t="s">
        <v>38</v>
      </c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41"/>
      <c r="K9" s="28"/>
    </row>
    <row r="10" spans="2:11" ht="17.25" x14ac:dyDescent="0.4">
      <c r="B10" s="24"/>
      <c r="C10" s="23"/>
      <c r="D10" s="24"/>
      <c r="E10" s="24"/>
      <c r="F10" s="24"/>
      <c r="G10" s="24"/>
      <c r="H10" s="26"/>
      <c r="I10" s="26"/>
      <c r="J10" s="89" t="s">
        <v>123</v>
      </c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39">
        <v>140</v>
      </c>
      <c r="K11" s="86" t="s">
        <v>119</v>
      </c>
    </row>
    <row r="12" spans="2:11" x14ac:dyDescent="0.25">
      <c r="H12" s="30"/>
      <c r="I12" s="30"/>
      <c r="J12" s="88">
        <v>184.6</v>
      </c>
      <c r="K12" s="87" t="s">
        <v>120</v>
      </c>
    </row>
    <row r="13" spans="2:11" x14ac:dyDescent="0.25">
      <c r="B13" s="15" t="s">
        <v>47</v>
      </c>
      <c r="J13" s="88">
        <v>30</v>
      </c>
      <c r="K13" s="87" t="s">
        <v>118</v>
      </c>
    </row>
    <row r="14" spans="2:11" x14ac:dyDescent="0.25">
      <c r="B14" s="17" t="s">
        <v>63</v>
      </c>
      <c r="I14" s="43">
        <v>63.6</v>
      </c>
    </row>
    <row r="15" spans="2:11" x14ac:dyDescent="0.25">
      <c r="B15" s="17" t="s">
        <v>49</v>
      </c>
      <c r="I15" s="25">
        <v>225</v>
      </c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288.60000000000002</v>
      </c>
    </row>
    <row r="20" spans="2:10" x14ac:dyDescent="0.25">
      <c r="B20" s="15" t="s">
        <v>52</v>
      </c>
    </row>
    <row r="21" spans="2:10" x14ac:dyDescent="0.25">
      <c r="B21" s="24" t="s">
        <v>114</v>
      </c>
      <c r="C21" s="23"/>
      <c r="H21" s="32"/>
      <c r="I21" s="78">
        <v>500</v>
      </c>
    </row>
    <row r="22" spans="2:10" x14ac:dyDescent="0.25">
      <c r="B22" s="33" t="s">
        <v>54</v>
      </c>
      <c r="C22" s="23"/>
      <c r="H22" s="32"/>
    </row>
    <row r="23" spans="2:10" x14ac:dyDescent="0.25">
      <c r="B23" s="34"/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J8-I19+I21</f>
        <v>5114.2499999999991</v>
      </c>
    </row>
    <row r="27" spans="2:10" x14ac:dyDescent="0.25">
      <c r="B27" s="79" t="s">
        <v>115</v>
      </c>
      <c r="C27" s="80"/>
      <c r="D27" s="81"/>
      <c r="E27" s="81"/>
      <c r="F27" s="81"/>
      <c r="G27" s="81"/>
      <c r="H27" s="81"/>
      <c r="I27" s="82"/>
      <c r="J27" s="83">
        <v>5752.85</v>
      </c>
    </row>
    <row r="28" spans="2:10" x14ac:dyDescent="0.25">
      <c r="B28" s="15" t="s">
        <v>116</v>
      </c>
      <c r="I28" s="30"/>
      <c r="J28" s="30">
        <f>J27-J25</f>
        <v>638.60000000000127</v>
      </c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33</vt:i4>
      </vt:variant>
    </vt:vector>
  </HeadingPairs>
  <TitlesOfParts>
    <vt:vector size="71" baseType="lpstr">
      <vt:lpstr>May 18</vt:lpstr>
      <vt:lpstr>Lodgement 02.05.18</vt:lpstr>
      <vt:lpstr>June '18</vt:lpstr>
      <vt:lpstr>July 18</vt:lpstr>
      <vt:lpstr>Aug 18</vt:lpstr>
      <vt:lpstr>Sept 18</vt:lpstr>
      <vt:lpstr>Oct 18</vt:lpstr>
      <vt:lpstr>Lodge 15.10.18 </vt:lpstr>
      <vt:lpstr>Nov 18</vt:lpstr>
      <vt:lpstr>Dec 18</vt:lpstr>
      <vt:lpstr>Lodge 06.12.18 </vt:lpstr>
      <vt:lpstr> Jan 19</vt:lpstr>
      <vt:lpstr>Feb 19</vt:lpstr>
      <vt:lpstr>March  19 estimated</vt:lpstr>
      <vt:lpstr>Lodge 21.03.19</vt:lpstr>
      <vt:lpstr>March  19 </vt:lpstr>
      <vt:lpstr>April  19</vt:lpstr>
      <vt:lpstr>Budget Update 1st May 2019</vt:lpstr>
      <vt:lpstr>May 19</vt:lpstr>
      <vt:lpstr>June 19</vt:lpstr>
      <vt:lpstr>July 19</vt:lpstr>
      <vt:lpstr>Aug 19</vt:lpstr>
      <vt:lpstr>Sep 19</vt:lpstr>
      <vt:lpstr>Oct 19</vt:lpstr>
      <vt:lpstr>Nov 19</vt:lpstr>
      <vt:lpstr>Dec 19</vt:lpstr>
      <vt:lpstr>Jan 20</vt:lpstr>
      <vt:lpstr>Feb 20</vt:lpstr>
      <vt:lpstr>Mar 20</vt:lpstr>
      <vt:lpstr>Apr 20</vt:lpstr>
      <vt:lpstr>May 20</vt:lpstr>
      <vt:lpstr>June 20</vt:lpstr>
      <vt:lpstr>July 20</vt:lpstr>
      <vt:lpstr>August 20</vt:lpstr>
      <vt:lpstr>Sept 20</vt:lpstr>
      <vt:lpstr>Oct 20</vt:lpstr>
      <vt:lpstr>Nov 20</vt:lpstr>
      <vt:lpstr>Dec 20</vt:lpstr>
      <vt:lpstr>' Jan 19'!Print_Area</vt:lpstr>
      <vt:lpstr>'Apr 20'!Print_Area</vt:lpstr>
      <vt:lpstr>'April  19'!Print_Area</vt:lpstr>
      <vt:lpstr>'Aug 18'!Print_Area</vt:lpstr>
      <vt:lpstr>'Aug 19'!Print_Area</vt:lpstr>
      <vt:lpstr>'August 20'!Print_Area</vt:lpstr>
      <vt:lpstr>'Dec 18'!Print_Area</vt:lpstr>
      <vt:lpstr>'Dec 19'!Print_Area</vt:lpstr>
      <vt:lpstr>'Dec 20'!Print_Area</vt:lpstr>
      <vt:lpstr>'Feb 19'!Print_Area</vt:lpstr>
      <vt:lpstr>'Feb 20'!Print_Area</vt:lpstr>
      <vt:lpstr>'Jan 20'!Print_Area</vt:lpstr>
      <vt:lpstr>'July 18'!Print_Area</vt:lpstr>
      <vt:lpstr>'July 19'!Print_Area</vt:lpstr>
      <vt:lpstr>'July 20'!Print_Area</vt:lpstr>
      <vt:lpstr>'June ''18'!Print_Area</vt:lpstr>
      <vt:lpstr>'June 19'!Print_Area</vt:lpstr>
      <vt:lpstr>'June 20'!Print_Area</vt:lpstr>
      <vt:lpstr>'Mar 20'!Print_Area</vt:lpstr>
      <vt:lpstr>'March  19 '!Print_Area</vt:lpstr>
      <vt:lpstr>'March  19 estimated'!Print_Area</vt:lpstr>
      <vt:lpstr>'May 18'!Print_Area</vt:lpstr>
      <vt:lpstr>'May 19'!Print_Area</vt:lpstr>
      <vt:lpstr>'May 20'!Print_Area</vt:lpstr>
      <vt:lpstr>'Nov 18'!Print_Area</vt:lpstr>
      <vt:lpstr>'Nov 19'!Print_Area</vt:lpstr>
      <vt:lpstr>'Nov 20'!Print_Area</vt:lpstr>
      <vt:lpstr>'Oct 18'!Print_Area</vt:lpstr>
      <vt:lpstr>'Oct 19'!Print_Area</vt:lpstr>
      <vt:lpstr>'Oct 20'!Print_Area</vt:lpstr>
      <vt:lpstr>'Sep 19'!Print_Area</vt:lpstr>
      <vt:lpstr>'Sept 18'!Print_Area</vt:lpstr>
      <vt:lpstr>'Sept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McGowan</dc:creator>
  <cp:lastModifiedBy>EoinK</cp:lastModifiedBy>
  <cp:lastPrinted>2020-02-13T10:07:00Z</cp:lastPrinted>
  <dcterms:created xsi:type="dcterms:W3CDTF">2018-04-04T16:03:51Z</dcterms:created>
  <dcterms:modified xsi:type="dcterms:W3CDTF">2021-04-28T20:08:43Z</dcterms:modified>
</cp:coreProperties>
</file>